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fileSharing readOnlyRecommended="1"/>
  <workbookPr/>
  <mc:AlternateContent xmlns:mc="http://schemas.openxmlformats.org/markup-compatibility/2006">
    <mc:Choice Requires="x15">
      <x15ac:absPath xmlns:x15ac="http://schemas.microsoft.com/office/spreadsheetml/2010/11/ac" url="G:\CP-CH\ICC-CCI\CENTRAL RECORDS\3335 BOOKS &amp; PUBLICATIONS\Publications List by Type\CCI Notes\Series 20 Art in Transit\20-1 Channel Crate\Calculator\"/>
    </mc:Choice>
  </mc:AlternateContent>
  <xr:revisionPtr revIDLastSave="0" documentId="13_ncr:1_{DA340745-31C2-4F9E-9482-7C6E1EE225AC}" xr6:coauthVersionLast="47" xr6:coauthVersionMax="47" xr10:uidLastSave="{00000000-0000-0000-0000-000000000000}"/>
  <workbookProtection workbookAlgorithmName="SHA-512" workbookHashValue="OYUe6dhL7JLJogfuo+8udMc6Fot9gHtfnCF/ltWNNqzXcYls9DS8y7XRuoHWSca3tlFDpDwB70bcwfSWWXdU7A==" workbookSaltValue="L4nc52mu99VeSk75GhKrIQ==" workbookSpinCount="100000" lockStructure="1"/>
  <bookViews>
    <workbookView xWindow="-110" yWindow="-110" windowWidth="38620" windowHeight="21220" xr2:uid="{00000000-000D-0000-FFFF-FFFF00000000}"/>
  </bookViews>
  <sheets>
    <sheet name="Introduction" sheetId="6" r:id="rId1"/>
    <sheet name="SI units" sheetId="13" r:id="rId2"/>
    <sheet name="Imperial units" sheetId="2" r:id="rId3"/>
    <sheet name="Data" sheetId="5" r:id="rId4"/>
  </sheets>
  <externalReferences>
    <externalReference r:id="rId5"/>
  </externalReferences>
  <definedNames>
    <definedName name="_xlnm.Print_Area" localSheetId="3">Data!$B$1:$L$37</definedName>
    <definedName name="_xlnm.Print_Area" localSheetId="2">'Imperial units'!$A$1:$AD$63</definedName>
    <definedName name="_xlnm.Print_Area" localSheetId="0">Introduction!$A$1:$D$43</definedName>
    <definedName name="_xlnm.Print_Area" localSheetId="1">'SI units'!$A$1:$AD$63</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2" i="13" l="1"/>
  <c r="AI33" i="13"/>
  <c r="AW10" i="13" l="1"/>
  <c r="AV10" i="13"/>
  <c r="AW9" i="13"/>
  <c r="AV9" i="13"/>
  <c r="AW6" i="13"/>
  <c r="AV6" i="13"/>
  <c r="AW5" i="13"/>
  <c r="AV5" i="13"/>
  <c r="AV10" i="2"/>
  <c r="AU10" i="2"/>
  <c r="AV9" i="2"/>
  <c r="AU9" i="2"/>
  <c r="AV6" i="2"/>
  <c r="AV5" i="2"/>
  <c r="AU6" i="2"/>
  <c r="AU5" i="2"/>
  <c r="AO18" i="2" s="1"/>
  <c r="AI34" i="13"/>
  <c r="AJ24" i="13"/>
  <c r="AH33" i="2"/>
  <c r="AH34" i="2"/>
  <c r="AH32" i="2"/>
  <c r="AI24" i="2"/>
  <c r="AH7" i="2" l="1"/>
  <c r="AH5" i="2"/>
  <c r="AH6" i="13"/>
  <c r="AM24" i="13" s="1"/>
  <c r="K43" i="13" s="1"/>
  <c r="AH7" i="13"/>
  <c r="AH5" i="13"/>
  <c r="AG6" i="2"/>
  <c r="AL24" i="2" s="1"/>
  <c r="K43" i="2" s="1"/>
  <c r="AG7" i="2"/>
  <c r="AG5" i="2"/>
  <c r="AH55" i="2" l="1"/>
  <c r="AH54" i="2"/>
  <c r="AH53" i="2"/>
  <c r="AF50" i="2"/>
  <c r="AG53" i="2" s="1"/>
  <c r="AM42" i="2"/>
  <c r="AO42" i="2" s="1"/>
  <c r="AP34" i="2"/>
  <c r="AO34" i="2"/>
  <c r="AP33" i="2"/>
  <c r="AO33" i="2"/>
  <c r="AP32" i="2"/>
  <c r="AO32" i="2"/>
  <c r="AP31" i="2"/>
  <c r="AO31" i="2"/>
  <c r="AP29" i="2"/>
  <c r="AO29" i="2"/>
  <c r="AP28" i="2"/>
  <c r="AU28" i="2" s="1"/>
  <c r="AO28" i="2"/>
  <c r="AV28" i="2" s="1"/>
  <c r="AP27" i="2"/>
  <c r="AU27" i="2" s="1"/>
  <c r="AO27" i="2"/>
  <c r="AV27" i="2" s="1"/>
  <c r="AP26" i="2"/>
  <c r="AU26" i="2" s="1"/>
  <c r="AO26" i="2"/>
  <c r="AV26" i="2" s="1"/>
  <c r="AO25" i="2"/>
  <c r="AN24" i="2"/>
  <c r="AT24" i="2" s="1"/>
  <c r="AT36" i="2" s="1"/>
  <c r="AI29" i="2"/>
  <c r="AL23" i="2"/>
  <c r="AL18" i="2"/>
  <c r="AP35" i="2"/>
  <c r="AO35" i="2"/>
  <c r="AO24" i="2"/>
  <c r="AL21" i="2"/>
  <c r="AO30" i="2"/>
  <c r="AJ6" i="2"/>
  <c r="AO22" i="2"/>
  <c r="AJ19" i="2"/>
  <c r="K38" i="2" s="1"/>
  <c r="AI55" i="13"/>
  <c r="AI54" i="13"/>
  <c r="AI53" i="13"/>
  <c r="AG50" i="13"/>
  <c r="AH53" i="13" s="1"/>
  <c r="AN42" i="13"/>
  <c r="AP42" i="13" s="1"/>
  <c r="AQ34" i="13"/>
  <c r="AP34" i="13"/>
  <c r="AQ33" i="13"/>
  <c r="AP33" i="13"/>
  <c r="AQ32" i="13"/>
  <c r="AP32" i="13"/>
  <c r="AQ31" i="13"/>
  <c r="AP31" i="13"/>
  <c r="AQ29" i="13"/>
  <c r="AP29" i="13"/>
  <c r="AQ28" i="13"/>
  <c r="AV28" i="13" s="1"/>
  <c r="AP28" i="13"/>
  <c r="AW28" i="13" s="1"/>
  <c r="AQ27" i="13"/>
  <c r="AV27" i="13" s="1"/>
  <c r="AP27" i="13"/>
  <c r="AW27" i="13" s="1"/>
  <c r="AQ26" i="13"/>
  <c r="AV26" i="13" s="1"/>
  <c r="AP26" i="13"/>
  <c r="AW26" i="13" s="1"/>
  <c r="AP25" i="13"/>
  <c r="AJ29" i="13"/>
  <c r="AM23" i="13"/>
  <c r="AP20" i="13"/>
  <c r="AM18" i="13"/>
  <c r="AQ35" i="13"/>
  <c r="AP35" i="13"/>
  <c r="AP24" i="13"/>
  <c r="AI7" i="13"/>
  <c r="AM21" i="13"/>
  <c r="AP30" i="13"/>
  <c r="AP22" i="13"/>
  <c r="AI5" i="13"/>
  <c r="AK6" i="13" s="1"/>
  <c r="AK19" i="13"/>
  <c r="K38" i="13" s="1"/>
  <c r="C39" i="2"/>
  <c r="C38" i="2"/>
  <c r="AU29" i="2" l="1"/>
  <c r="AL30" i="2"/>
  <c r="AH47" i="2" s="1"/>
  <c r="AI47" i="2" s="1"/>
  <c r="C52" i="2"/>
  <c r="AM30" i="13"/>
  <c r="AI47" i="13" s="1"/>
  <c r="AJ47" i="13" s="1"/>
  <c r="AK47" i="13" s="1"/>
  <c r="AL47" i="13" s="1"/>
  <c r="AN47" i="13" s="1"/>
  <c r="C51" i="13"/>
  <c r="AJ22" i="2"/>
  <c r="K41" i="2" s="1"/>
  <c r="AJ53" i="13"/>
  <c r="AO24" i="13"/>
  <c r="AU24" i="13" s="1"/>
  <c r="AU36" i="13" s="1"/>
  <c r="AV29" i="13"/>
  <c r="AI53" i="2"/>
  <c r="AO20" i="2"/>
  <c r="AP21" i="13"/>
  <c r="AP23" i="13"/>
  <c r="AO21" i="2"/>
  <c r="AP18" i="13"/>
  <c r="AO23" i="2"/>
  <c r="AP19" i="13"/>
  <c r="AV24" i="2"/>
  <c r="AM19" i="2"/>
  <c r="AH40" i="2"/>
  <c r="AI40" i="2" s="1"/>
  <c r="AJ40" i="2" s="1"/>
  <c r="AO19" i="2"/>
  <c r="AG54" i="2"/>
  <c r="AI54" i="2" s="1"/>
  <c r="AJ5" i="2"/>
  <c r="AJ7" i="2"/>
  <c r="C53" i="2" s="1"/>
  <c r="AJ21" i="2"/>
  <c r="K40" i="2" s="1"/>
  <c r="AJ23" i="2"/>
  <c r="K42" i="2" s="1"/>
  <c r="AG55" i="2"/>
  <c r="AI55" i="2" s="1"/>
  <c r="AJ20" i="2"/>
  <c r="K39" i="2" s="1"/>
  <c r="AJ18" i="2"/>
  <c r="K37" i="2" s="1"/>
  <c r="AN19" i="13"/>
  <c r="AI40" i="13"/>
  <c r="AJ40" i="13" s="1"/>
  <c r="AK40" i="13" s="1"/>
  <c r="AH54" i="13"/>
  <c r="AJ54" i="13" s="1"/>
  <c r="AK7" i="13"/>
  <c r="C52" i="13" s="1"/>
  <c r="AK21" i="13"/>
  <c r="K40" i="13" s="1"/>
  <c r="AK22" i="13"/>
  <c r="AK23" i="13"/>
  <c r="K42" i="13" s="1"/>
  <c r="AH55" i="13"/>
  <c r="AJ55" i="13" s="1"/>
  <c r="AK5" i="13"/>
  <c r="AL5" i="13" s="1"/>
  <c r="C50" i="13" s="1"/>
  <c r="AK20" i="13"/>
  <c r="K39" i="13" s="1"/>
  <c r="AK18" i="13"/>
  <c r="K37" i="13" s="1"/>
  <c r="U40" i="13"/>
  <c r="AN22" i="13" l="1"/>
  <c r="AW22" i="13" s="1"/>
  <c r="K41" i="13"/>
  <c r="AK5" i="2"/>
  <c r="C51" i="2" s="1"/>
  <c r="AJ30" i="2"/>
  <c r="AC37" i="2" s="1"/>
  <c r="AW24" i="13"/>
  <c r="AM22" i="2"/>
  <c r="AQ22" i="2" s="1"/>
  <c r="AI56" i="2"/>
  <c r="AF66" i="2" s="1"/>
  <c r="C60" i="2" s="1"/>
  <c r="AJ56" i="13"/>
  <c r="AG66" i="13" s="1"/>
  <c r="C60" i="13" s="1"/>
  <c r="AH11" i="2"/>
  <c r="AI11" i="2" s="1"/>
  <c r="AM18" i="2"/>
  <c r="AV18" i="2" s="1"/>
  <c r="AM20" i="2"/>
  <c r="AH42" i="2"/>
  <c r="AI42" i="2" s="1"/>
  <c r="AJ42" i="2" s="1"/>
  <c r="AL42" i="2" s="1"/>
  <c r="AM23" i="2"/>
  <c r="AP23" i="2" s="1"/>
  <c r="AH41" i="2"/>
  <c r="AI41" i="2" s="1"/>
  <c r="AJ41" i="2" s="1"/>
  <c r="AV19" i="2"/>
  <c r="AM21" i="2"/>
  <c r="AH39" i="2"/>
  <c r="AI39" i="2" s="1"/>
  <c r="AJ39" i="2" s="1"/>
  <c r="AH12" i="2"/>
  <c r="AI12" i="2" s="1"/>
  <c r="AL40" i="2"/>
  <c r="AR40" i="2" s="1"/>
  <c r="P41" i="2" s="1"/>
  <c r="AK40" i="2"/>
  <c r="AM40" i="2" s="1"/>
  <c r="AO40" i="2" s="1"/>
  <c r="AJ47" i="2"/>
  <c r="AK47" i="2" s="1"/>
  <c r="AM47" i="2" s="1"/>
  <c r="AQ19" i="2"/>
  <c r="AP19" i="2"/>
  <c r="AR19" i="2" s="1"/>
  <c r="AR22" i="13"/>
  <c r="AN23" i="13"/>
  <c r="AQ23" i="13" s="1"/>
  <c r="AI41" i="13"/>
  <c r="AJ41" i="13" s="1"/>
  <c r="AK41" i="13" s="1"/>
  <c r="AN21" i="13"/>
  <c r="AI12" i="13"/>
  <c r="AJ12" i="13" s="1"/>
  <c r="AI39" i="13"/>
  <c r="AJ39" i="13" s="1"/>
  <c r="AK39" i="13" s="1"/>
  <c r="AI11" i="13"/>
  <c r="AJ11" i="13" s="1"/>
  <c r="AN18" i="13"/>
  <c r="AK30" i="13"/>
  <c r="AC37" i="13" s="1"/>
  <c r="AQ19" i="13"/>
  <c r="AS19" i="13" s="1"/>
  <c r="AR19" i="13"/>
  <c r="AM47" i="13"/>
  <c r="AS43" i="13" s="1"/>
  <c r="AB49" i="13" s="1"/>
  <c r="AM40" i="13"/>
  <c r="AS40" i="13" s="1"/>
  <c r="P41" i="13" s="1"/>
  <c r="AL40" i="13"/>
  <c r="AN40" i="13" s="1"/>
  <c r="AP40" i="13" s="1"/>
  <c r="AN20" i="13"/>
  <c r="AI42" i="13"/>
  <c r="AJ42" i="13" s="1"/>
  <c r="AK42" i="13" s="1"/>
  <c r="AM42" i="13" s="1"/>
  <c r="AW19" i="13"/>
  <c r="U40" i="2"/>
  <c r="I43" i="2"/>
  <c r="D8" i="5"/>
  <c r="C38" i="13" s="1"/>
  <c r="D7" i="5"/>
  <c r="C37" i="13" s="1"/>
  <c r="I8" i="5"/>
  <c r="I7" i="5"/>
  <c r="J8" i="5"/>
  <c r="J7" i="5"/>
  <c r="F8" i="5"/>
  <c r="F7" i="5"/>
  <c r="I13" i="5"/>
  <c r="I14" i="5"/>
  <c r="I15" i="5"/>
  <c r="I16" i="5"/>
  <c r="I17" i="5"/>
  <c r="I18" i="5"/>
  <c r="I19" i="5"/>
  <c r="I20" i="5"/>
  <c r="I12" i="5"/>
  <c r="G25" i="5"/>
  <c r="G24" i="5"/>
  <c r="I25" i="5"/>
  <c r="I24" i="5"/>
  <c r="AQ22" i="13" l="1"/>
  <c r="AS22" i="13" s="1"/>
  <c r="AP22" i="2"/>
  <c r="AR22" i="2" s="1"/>
  <c r="AV22" i="2"/>
  <c r="AQ20" i="2"/>
  <c r="AP20" i="2"/>
  <c r="AR20" i="2" s="1"/>
  <c r="AV20" i="2"/>
  <c r="AJ12" i="2"/>
  <c r="AK12" i="2" s="1"/>
  <c r="AM12" i="2" s="1"/>
  <c r="AL41" i="2"/>
  <c r="AR41" i="2" s="1"/>
  <c r="P42" i="2" s="1"/>
  <c r="AK41" i="2"/>
  <c r="AM41" i="2" s="1"/>
  <c r="AL39" i="2"/>
  <c r="AR39" i="2" s="1"/>
  <c r="P40" i="2" s="1"/>
  <c r="AK39" i="2"/>
  <c r="AM39" i="2" s="1"/>
  <c r="AO39" i="2" s="1"/>
  <c r="AQ21" i="2"/>
  <c r="AP21" i="2"/>
  <c r="AR21" i="2" s="1"/>
  <c r="AV21" i="2"/>
  <c r="AJ35" i="2"/>
  <c r="AN35" i="2" s="1"/>
  <c r="AV35" i="2" s="1"/>
  <c r="AH46" i="2"/>
  <c r="AI46" i="2" s="1"/>
  <c r="AM30" i="2"/>
  <c r="AL47" i="2"/>
  <c r="AR43" i="2" s="1"/>
  <c r="AB49" i="2" s="1"/>
  <c r="AQ18" i="2"/>
  <c r="AP18" i="2"/>
  <c r="AR18" i="2" s="1"/>
  <c r="AJ11" i="2"/>
  <c r="AK11" i="2" s="1"/>
  <c r="AM11" i="2" s="1"/>
  <c r="AK12" i="13"/>
  <c r="AL12" i="13" s="1"/>
  <c r="AN12" i="13" s="1"/>
  <c r="AR21" i="13"/>
  <c r="AQ21" i="13"/>
  <c r="AS21" i="13" s="1"/>
  <c r="AW21" i="13"/>
  <c r="AM41" i="13"/>
  <c r="AS41" i="13" s="1"/>
  <c r="P42" i="13" s="1"/>
  <c r="AL41" i="13"/>
  <c r="AN41" i="13" s="1"/>
  <c r="AK35" i="13"/>
  <c r="AA42" i="13" s="1"/>
  <c r="AI46" i="13"/>
  <c r="AJ46" i="13" s="1"/>
  <c r="AN30" i="13"/>
  <c r="AQ20" i="13"/>
  <c r="AS20" i="13" s="1"/>
  <c r="AR20" i="13"/>
  <c r="AW20" i="13"/>
  <c r="AQ18" i="13"/>
  <c r="AS18" i="13" s="1"/>
  <c r="AR18" i="13"/>
  <c r="AW18" i="13"/>
  <c r="AK11" i="13"/>
  <c r="AL11" i="13" s="1"/>
  <c r="AN11" i="13" s="1"/>
  <c r="AM39" i="13"/>
  <c r="AS39" i="13" s="1"/>
  <c r="P40" i="13" s="1"/>
  <c r="AL39" i="13"/>
  <c r="AN39" i="13" s="1"/>
  <c r="AP39" i="13" s="1"/>
  <c r="I43" i="13"/>
  <c r="AO35" i="13" l="1"/>
  <c r="AW35" i="13" s="1"/>
  <c r="AC42" i="13"/>
  <c r="AH13" i="2"/>
  <c r="AI23" i="2" s="1"/>
  <c r="AQ23" i="2" s="1"/>
  <c r="AF60" i="2" s="1"/>
  <c r="J46" i="2" s="1"/>
  <c r="AI13" i="13"/>
  <c r="AJ23" i="13" s="1"/>
  <c r="AS23" i="13" s="1"/>
  <c r="AS36" i="13" s="1"/>
  <c r="AM11" i="13"/>
  <c r="AJ46" i="2"/>
  <c r="AK46" i="2" s="1"/>
  <c r="AM46" i="2" s="1"/>
  <c r="AM49" i="2" s="1"/>
  <c r="AL11" i="2"/>
  <c r="AL12" i="2"/>
  <c r="AQ30" i="2"/>
  <c r="AP30" i="2"/>
  <c r="AV30" i="2"/>
  <c r="AQ30" i="13"/>
  <c r="AR30" i="13"/>
  <c r="AW30" i="13"/>
  <c r="AK46" i="13"/>
  <c r="AL46" i="13" s="1"/>
  <c r="AN46" i="13" s="1"/>
  <c r="AN49" i="13" s="1"/>
  <c r="AM12" i="13"/>
  <c r="AR23" i="2" l="1"/>
  <c r="AR36" i="2" s="1"/>
  <c r="AN41" i="2"/>
  <c r="AO41" i="2" s="1"/>
  <c r="AI25" i="2" s="1"/>
  <c r="AU25" i="2" s="1"/>
  <c r="AW23" i="13"/>
  <c r="AV23" i="2"/>
  <c r="AO41" i="13"/>
  <c r="AP41" i="13" s="1"/>
  <c r="AJ25" i="13" s="1"/>
  <c r="AV25" i="13" s="1"/>
  <c r="AR23" i="13"/>
  <c r="AG60" i="13" s="1"/>
  <c r="J46" i="13" s="1"/>
  <c r="AL46" i="2"/>
  <c r="AR42" i="2" s="1"/>
  <c r="AB48" i="2" s="1"/>
  <c r="AI31" i="2"/>
  <c r="AI32" i="2"/>
  <c r="AU32" i="2" s="1"/>
  <c r="AI33" i="2"/>
  <c r="AU33" i="2" s="1"/>
  <c r="AI34" i="2"/>
  <c r="AU34" i="2" s="1"/>
  <c r="AS30" i="2"/>
  <c r="AS36" i="2" s="1"/>
  <c r="AF61" i="2"/>
  <c r="AB45" i="2" s="1"/>
  <c r="AM46" i="13"/>
  <c r="AS42" i="13" s="1"/>
  <c r="AJ31" i="13"/>
  <c r="AA38" i="13" s="1"/>
  <c r="AJ32" i="13"/>
  <c r="AJ33" i="13"/>
  <c r="AJ34" i="13"/>
  <c r="AT30" i="13"/>
  <c r="AT36" i="13" s="1"/>
  <c r="AG64" i="13" s="1"/>
  <c r="C58" i="13" s="1"/>
  <c r="AG61" i="13"/>
  <c r="AB45" i="13" s="1"/>
  <c r="AC42" i="2"/>
  <c r="AA38" i="2" l="1"/>
  <c r="AU31" i="2"/>
  <c r="AU36" i="2" s="1"/>
  <c r="AV25" i="2"/>
  <c r="O37" i="2"/>
  <c r="AB48" i="13"/>
  <c r="AW25" i="13"/>
  <c r="O37" i="13"/>
  <c r="AF64" i="2"/>
  <c r="C58" i="2" s="1"/>
  <c r="AV34" i="2"/>
  <c r="AV33" i="2"/>
  <c r="AV32" i="2"/>
  <c r="AV31" i="2"/>
  <c r="AV33" i="13"/>
  <c r="AW33" i="13"/>
  <c r="AW32" i="13"/>
  <c r="AV32" i="13"/>
  <c r="AW31" i="13"/>
  <c r="AV31" i="13"/>
  <c r="AV34" i="13"/>
  <c r="AW34" i="13"/>
  <c r="I42" i="2"/>
  <c r="AA42" i="2"/>
  <c r="AG70" i="13" l="1"/>
  <c r="AF65" i="2"/>
  <c r="C59" i="2" s="1"/>
  <c r="AV36" i="2"/>
  <c r="AV36" i="13"/>
  <c r="AF70" i="2"/>
  <c r="C55" i="2" s="1"/>
  <c r="AW36" i="13"/>
  <c r="C55" i="13" s="1"/>
  <c r="AA41" i="13"/>
  <c r="I42" i="13"/>
  <c r="AA39" i="13"/>
  <c r="AA40" i="13"/>
  <c r="AG65" i="13" l="1"/>
  <c r="C59" i="13" s="1"/>
  <c r="AG67" i="13"/>
  <c r="C61" i="13" s="1"/>
  <c r="AF67" i="2"/>
  <c r="C61" i="2" s="1"/>
  <c r="AA40" i="2"/>
  <c r="AA41" i="2"/>
  <c r="AA39" i="2"/>
</calcChain>
</file>

<file path=xl/sharedStrings.xml><?xml version="1.0" encoding="utf-8"?>
<sst xmlns="http://schemas.openxmlformats.org/spreadsheetml/2006/main" count="573" uniqueCount="239">
  <si>
    <t>$</t>
  </si>
  <si>
    <t>Plywood</t>
  </si>
  <si>
    <t>Triwall</t>
  </si>
  <si>
    <t xml:space="preserve">Part </t>
  </si>
  <si>
    <t>Description</t>
  </si>
  <si>
    <t>Wood screws #8 1 1/4</t>
  </si>
  <si>
    <t>Bolt (5/16)</t>
  </si>
  <si>
    <t>Nut (5/16)</t>
  </si>
  <si>
    <t>Washers (5/16)</t>
  </si>
  <si>
    <t>Wood screw #8 x 2</t>
  </si>
  <si>
    <t xml:space="preserve">Washer </t>
  </si>
  <si>
    <t>Machine screw</t>
  </si>
  <si>
    <t>Washer head screw</t>
  </si>
  <si>
    <t>Kraft tape</t>
  </si>
  <si>
    <t>1. Design</t>
  </si>
  <si>
    <t>4. Crate Assembly</t>
  </si>
  <si>
    <t>Interior dimensions (in.)</t>
  </si>
  <si>
    <t>Spacing Dimensions</t>
  </si>
  <si>
    <t>Skid List</t>
  </si>
  <si>
    <t>Cover Options</t>
  </si>
  <si>
    <t>Interior Height (H)</t>
  </si>
  <si>
    <t>External Height</t>
  </si>
  <si>
    <t>A</t>
  </si>
  <si>
    <t>Horizontal</t>
  </si>
  <si>
    <t>Interior Width (W)</t>
  </si>
  <si>
    <t>External Width</t>
  </si>
  <si>
    <t>B</t>
  </si>
  <si>
    <t>Vertical</t>
  </si>
  <si>
    <t>Interior Depth (D)</t>
  </si>
  <si>
    <t>External Depth</t>
  </si>
  <si>
    <t>C</t>
  </si>
  <si>
    <t>Rib Number and Spacing</t>
  </si>
  <si>
    <t>L</t>
  </si>
  <si>
    <t>L-dF</t>
  </si>
  <si>
    <t>#</t>
  </si>
  <si>
    <t>Min #</t>
  </si>
  <si>
    <t>dim.</t>
  </si>
  <si>
    <t>Total</t>
  </si>
  <si>
    <t>F</t>
  </si>
  <si>
    <t>Vertical channel ribs</t>
  </si>
  <si>
    <t>G</t>
  </si>
  <si>
    <t>Horizontal channel ribs</t>
  </si>
  <si>
    <t xml:space="preserve">Total </t>
  </si>
  <si>
    <t>Option</t>
  </si>
  <si>
    <t>Qty.</t>
  </si>
  <si>
    <t>Dimensions</t>
  </si>
  <si>
    <t>Part</t>
  </si>
  <si>
    <t>Area x Qty.</t>
  </si>
  <si>
    <t>Channels</t>
  </si>
  <si>
    <t>Skids</t>
  </si>
  <si>
    <t>Material</t>
  </si>
  <si>
    <t>Hardware</t>
  </si>
  <si>
    <t>Weight</t>
  </si>
  <si>
    <t>in.</t>
  </si>
  <si>
    <t>sq.ft.</t>
  </si>
  <si>
    <t>lb.</t>
  </si>
  <si>
    <t>Vertical panel</t>
  </si>
  <si>
    <t>x</t>
  </si>
  <si>
    <t>Vertical rail</t>
  </si>
  <si>
    <t>Handle</t>
  </si>
  <si>
    <t>Horizontal panel</t>
  </si>
  <si>
    <t>Horizontal rail</t>
  </si>
  <si>
    <t>Rib</t>
  </si>
  <si>
    <t>Skid</t>
  </si>
  <si>
    <t>Screws</t>
  </si>
  <si>
    <t xml:space="preserve">5. Covers </t>
  </si>
  <si>
    <t>3. Channel Construction</t>
  </si>
  <si>
    <t>Insert Nuts (1/4-20x13)</t>
  </si>
  <si>
    <t>Cost</t>
  </si>
  <si>
    <t>Kraft Tape</t>
  </si>
  <si>
    <t xml:space="preserve">Hardware </t>
  </si>
  <si>
    <t>Area</t>
  </si>
  <si>
    <t>Time</t>
  </si>
  <si>
    <t>Labour</t>
  </si>
  <si>
    <t>Cover</t>
  </si>
  <si>
    <t>Assembly Screw Quantity and Spacing</t>
  </si>
  <si>
    <t>Details</t>
  </si>
  <si>
    <t>Triwall cover</t>
  </si>
  <si>
    <t>Cover Fastener Quantity and Spacing</t>
  </si>
  <si>
    <t>Location</t>
  </si>
  <si>
    <t>Corners</t>
  </si>
  <si>
    <t xml:space="preserve">Exterior </t>
  </si>
  <si>
    <t>Ply. T (in.)</t>
  </si>
  <si>
    <t>Cvr. T (in.)</t>
  </si>
  <si>
    <t>2. Plywood Parts and Skids</t>
  </si>
  <si>
    <t>lb/sq.ft.</t>
  </si>
  <si>
    <t>$/sq.ft.</t>
  </si>
  <si>
    <t>Length</t>
  </si>
  <si>
    <t>2x2</t>
  </si>
  <si>
    <t xml:space="preserve"> w/skid</t>
  </si>
  <si>
    <t>Ext Height</t>
  </si>
  <si>
    <t>lb/ft</t>
  </si>
  <si>
    <t>$/ft</t>
  </si>
  <si>
    <t>Guide</t>
  </si>
  <si>
    <t>Kraft tape, per roll</t>
  </si>
  <si>
    <t xml:space="preserve">Disclaimer </t>
  </si>
  <si>
    <t>Weight/Unit</t>
  </si>
  <si>
    <t>Unit</t>
  </si>
  <si>
    <t>Linear material</t>
  </si>
  <si>
    <t>ft.</t>
  </si>
  <si>
    <t>Height (h)</t>
  </si>
  <si>
    <t>Width (w)</t>
  </si>
  <si>
    <t>Depth (d)</t>
  </si>
  <si>
    <t>Height</t>
  </si>
  <si>
    <t xml:space="preserve">Width </t>
  </si>
  <si>
    <t>Costs</t>
  </si>
  <si>
    <t>Plywood notes:</t>
  </si>
  <si>
    <t>Cover notes:</t>
  </si>
  <si>
    <t>Quantity</t>
  </si>
  <si>
    <t>Kraft reinforced tape</t>
  </si>
  <si>
    <t xml:space="preserve">Depth </t>
  </si>
  <si>
    <t>Material, Hardware and Labour Data</t>
  </si>
  <si>
    <t>Weight kg/sheet</t>
  </si>
  <si>
    <t>Cost $/sheet</t>
  </si>
  <si>
    <t>Length (mm)</t>
  </si>
  <si>
    <t>Width (mm)</t>
  </si>
  <si>
    <t>Length (in.)</t>
  </si>
  <si>
    <t>Width (in.)</t>
  </si>
  <si>
    <t>Weight (lb.)</t>
  </si>
  <si>
    <t>Weight (g)</t>
  </si>
  <si>
    <t>Length (m)</t>
  </si>
  <si>
    <t>Weight (kg)</t>
  </si>
  <si>
    <t>Labour rate per hour</t>
  </si>
  <si>
    <t>Design note:</t>
  </si>
  <si>
    <t>Channel Crate Design Tool</t>
  </si>
  <si>
    <r>
      <t xml:space="preserve">This tool is published by the </t>
    </r>
    <r>
      <rPr>
        <u/>
        <sz val="12"/>
        <color rgb="FF0563C1"/>
        <rFont val="Arial"/>
        <family val="2"/>
      </rPr>
      <t>Canadian Conservation Institute</t>
    </r>
    <r>
      <rPr>
        <sz val="12"/>
        <color theme="1"/>
        <rFont val="Arial"/>
        <family val="2"/>
      </rPr>
      <t xml:space="preserve">. </t>
    </r>
  </si>
  <si>
    <t>1. Recommended cover material is triple-wall corrugated cardboard (triwall).</t>
  </si>
  <si>
    <t>Weight lb./sheet</t>
  </si>
  <si>
    <t>Length (ft.)</t>
  </si>
  <si>
    <t>Skids and kraft tape</t>
  </si>
  <si>
    <t>Time to build 4 channel assemblies (hr)</t>
  </si>
  <si>
    <t>Time to cut cut, drill and finish covers (hr)</t>
  </si>
  <si>
    <t>Time to build 2 skids (hr)</t>
  </si>
  <si>
    <t>Name</t>
  </si>
  <si>
    <t>Bolt</t>
  </si>
  <si>
    <t>Washer</t>
  </si>
  <si>
    <t>Nut</t>
  </si>
  <si>
    <t>Screw</t>
  </si>
  <si>
    <t xml:space="preserve">Cover insert nut </t>
  </si>
  <si>
    <t>Wood screw</t>
  </si>
  <si>
    <t>Screw spacing</t>
  </si>
  <si>
    <t>Cover fastener spacing</t>
  </si>
  <si>
    <t>Enter or update information in active (blue) cells.</t>
  </si>
  <si>
    <t>5/16 × 2 in.</t>
  </si>
  <si>
    <t>5/16 in.</t>
  </si>
  <si>
    <t>#8 × 2 in.</t>
  </si>
  <si>
    <t>1/4 in.</t>
  </si>
  <si>
    <t>1/4-20 × 1/2 in.</t>
  </si>
  <si>
    <t xml:space="preserve">Skid </t>
  </si>
  <si>
    <r>
      <t xml:space="preserve">  © Government of Canada, Canadian Conservation Institute. 131500-0011</t>
    </r>
    <r>
      <rPr>
        <sz val="8"/>
        <color theme="1"/>
        <rFont val="Calibri"/>
        <family val="2"/>
        <scheme val="minor"/>
      </rPr>
      <t> </t>
    </r>
  </si>
  <si>
    <r>
      <t xml:space="preserve">  © Government of Canada, Canadian Conservation Institute. 131500-0013</t>
    </r>
    <r>
      <rPr>
        <sz val="8"/>
        <color theme="1"/>
        <rFont val="Calibri"/>
        <family val="2"/>
        <scheme val="minor"/>
      </rPr>
      <t> </t>
    </r>
  </si>
  <si>
    <r>
      <t xml:space="preserve">   © Government of Canada, Canadian Conservation Institute. 131500-0007</t>
    </r>
    <r>
      <rPr>
        <sz val="8"/>
        <color theme="1"/>
        <rFont val="Calibri"/>
        <family val="2"/>
        <scheme val="minor"/>
      </rPr>
      <t> </t>
    </r>
  </si>
  <si>
    <r>
      <t xml:space="preserve">   © Government of Canada, Canadian Conservation Institute. 131500-0009</t>
    </r>
    <r>
      <rPr>
        <sz val="8"/>
        <color theme="1"/>
        <rFont val="Calibri"/>
        <family val="2"/>
        <scheme val="minor"/>
      </rPr>
      <t> </t>
    </r>
  </si>
  <si>
    <t>Spacing</t>
  </si>
  <si>
    <t>Space</t>
  </si>
  <si>
    <t>Quotient</t>
  </si>
  <si>
    <t>L Adjusted</t>
  </si>
  <si>
    <t># Screws/Part</t>
  </si>
  <si>
    <t># Parts</t>
  </si>
  <si>
    <t>Total Screws</t>
  </si>
  <si>
    <t xml:space="preserve">Skid notes: </t>
  </si>
  <si>
    <t>Screw spacing note:</t>
  </si>
  <si>
    <t>Rate</t>
  </si>
  <si>
    <t>Labour rate</t>
  </si>
  <si>
    <t>Rate x Time</t>
  </si>
  <si>
    <t>Fabrication and Assembly</t>
  </si>
  <si>
    <t>Sheet material area</t>
  </si>
  <si>
    <t>Sheet material properties</t>
  </si>
  <si>
    <t>2. Actual skid height is 51 mm.</t>
  </si>
  <si>
    <t>M8</t>
  </si>
  <si>
    <t>Washer 5/16 in. (M8)</t>
  </si>
  <si>
    <t>Washer 1/4 in. (M6)</t>
  </si>
  <si>
    <t>Options</t>
  </si>
  <si>
    <t xml:space="preserve">Plywood </t>
  </si>
  <si>
    <t xml:space="preserve">Cover </t>
  </si>
  <si>
    <t>Cover material</t>
  </si>
  <si>
    <t>Total material requirement</t>
  </si>
  <si>
    <t>1. Recommended nominal plywood thickness is 19 mm.</t>
  </si>
  <si>
    <t>1. Recommended nominal plywood thickness is 3/4 in.</t>
  </si>
  <si>
    <t>2. Actual thickness for 19 mm plywood is 18 mm.</t>
  </si>
  <si>
    <t>2. Actual thickness for triwall is 16 mm.</t>
  </si>
  <si>
    <t>4 mm × 40 mm</t>
  </si>
  <si>
    <t>4 mm × 50 mm</t>
  </si>
  <si>
    <t>Skid note:</t>
  </si>
  <si>
    <t>2. Actual thickness for 3/4 in. plywood is 23/32 in. (0.719 in.)</t>
  </si>
  <si>
    <t>Crate interior dimensions (mm)</t>
  </si>
  <si>
    <t>Crate exterior dimensions (mm)</t>
  </si>
  <si>
    <t xml:space="preserve">Cover fasteners </t>
  </si>
  <si>
    <t>Crate interior dimensions (in.)</t>
  </si>
  <si>
    <t>Crate exterior dimensions (in.)</t>
  </si>
  <si>
    <t>2. Actual thickness for triwall is 5/8 in. (0.625 in.).</t>
  </si>
  <si>
    <t>2. Actual skid height is 2 in.</t>
  </si>
  <si>
    <t>Thickness (mm)</t>
  </si>
  <si>
    <t>Thickness (in.)</t>
  </si>
  <si>
    <t>Sheet goods</t>
  </si>
  <si>
    <t>Skid 2 in. × 2 in. (51 mm × 51 mm)</t>
  </si>
  <si>
    <t>#8 × 1 1/4 in.</t>
  </si>
  <si>
    <t>1/4-20 × 1 1/4 in.</t>
  </si>
  <si>
    <t>4. Cover fastener option 1: washer head screws.</t>
  </si>
  <si>
    <t>Wood screw #8 × 1 1/2 in. (4 mm × 40 mm)</t>
  </si>
  <si>
    <t>Wood screw #8 × 2 in. (4 mm × 50 mm)</t>
  </si>
  <si>
    <t>Washer head screw #8 × 1 1/4 in. (M4 × 40 mm)</t>
  </si>
  <si>
    <t>3. Verify material properties on the "Data" spreadsheet and update if necessary.</t>
  </si>
  <si>
    <t>M8-1.25 × 50 mm</t>
  </si>
  <si>
    <t>M8-1.25 mm</t>
  </si>
  <si>
    <t>Cover screw 1/4-20 × 1 1/4 in. (M6-1 × 13 mm)</t>
  </si>
  <si>
    <t>Insert nut 1/4-20 × 1/2 in. (M6-1 × 13 mm)</t>
  </si>
  <si>
    <t>1. For channel orientation shown, assign vertical dimension to height (h).</t>
  </si>
  <si>
    <t>The Channel Crate Design Tool was designed by the Canadian Conservation Institute (CCI) as a tool to help design a channel crate according to a given interior dimension requirement.</t>
  </si>
  <si>
    <t>Material thickness (mm)</t>
  </si>
  <si>
    <t>Material thickness (in.)</t>
  </si>
  <si>
    <t>To enter or update material, hardware and labour details, use the "Data" spreadsheet. This data will be used for design calculations. Input interior dimensions in SI (metric) or imperial units in the appropriate spreadsheet. Make design entries in the active cells in the section labelled “Design.” For SI units, make entries to the nearest millimetre. When working with imperial units, dimensions can be entered as values and fractions separated by a space (for example, 24 1/2) or as a decimal value (for example, 24.5).  To save a project, use a new file name to save the workbook or use the export option to create a PDF document. Consult notes appearing below a section for additional guidance.</t>
  </si>
  <si>
    <r>
      <rPr>
        <sz val="12"/>
        <rFont val="Arial"/>
        <family val="2"/>
      </rPr>
      <t>For the conditions of use and reproduction of these resources, consult the section "Ownership and usage of content provided on this site" on the</t>
    </r>
    <r>
      <rPr>
        <sz val="12"/>
        <color theme="9" tint="-0.499984740745262"/>
        <rFont val="Arial"/>
        <family val="2"/>
      </rPr>
      <t xml:space="preserve"> </t>
    </r>
    <r>
      <rPr>
        <u/>
        <sz val="12"/>
        <color rgb="FF0033CC"/>
        <rFont val="Arial"/>
        <family val="2"/>
      </rPr>
      <t>Terms and conditions</t>
    </r>
    <r>
      <rPr>
        <sz val="12"/>
        <color theme="1"/>
        <rFont val="Arial"/>
        <family val="2"/>
      </rPr>
      <t xml:space="preserve"> page</t>
    </r>
    <r>
      <rPr>
        <sz val="12"/>
        <color theme="9" tint="-0.499984740745262"/>
        <rFont val="Arial"/>
        <family val="2"/>
      </rPr>
      <t xml:space="preserve"> </t>
    </r>
    <r>
      <rPr>
        <sz val="12"/>
        <rFont val="Arial"/>
        <family val="2"/>
      </rPr>
      <t>for the Canada. ca website.</t>
    </r>
  </si>
  <si>
    <t>1. Enter zero (0) if there are none.</t>
  </si>
  <si>
    <t>5. Cover fastener option 2: machine screws and insert nuts.</t>
  </si>
  <si>
    <t>1. Zero (0) value indicates a single centrally located screw.</t>
  </si>
  <si>
    <t>1. Skid fastening details may vary depending on skid length.</t>
  </si>
  <si>
    <t>Materials</t>
  </si>
  <si>
    <r>
      <t xml:space="preserve">  © Government of Canada, Canadian Conservation Institute. 131500-0009</t>
    </r>
    <r>
      <rPr>
        <sz val="8"/>
        <color theme="1"/>
        <rFont val="Calibri"/>
        <family val="2"/>
        <scheme val="minor"/>
      </rPr>
      <t> </t>
    </r>
  </si>
  <si>
    <t>Crate weight (kg)</t>
  </si>
  <si>
    <t>Crate weight (lb.)</t>
  </si>
  <si>
    <t xml:space="preserve">  © Government of Canada, Canadian Conservation Institute. 131500-0014 </t>
  </si>
  <si>
    <t xml:space="preserve">  © Government of Canada, Canadian Conservation Institute. 131500-0014</t>
  </si>
  <si>
    <t>#8 × 1 1/2 in.</t>
  </si>
  <si>
    <t>Nut 5/16 in. (M8-1.25 mm)</t>
  </si>
  <si>
    <t>Bolt 5/16 × 2 in. (M8-1.25 × 50 mm)</t>
  </si>
  <si>
    <t>COST</t>
  </si>
  <si>
    <t>Crate Weight</t>
  </si>
  <si>
    <t>Measurement precision</t>
  </si>
  <si>
    <t>Precision</t>
  </si>
  <si>
    <t>2. Select the measurement precision for the wood and cover panel parts (1/16 in. or 1/32 in.)</t>
  </si>
  <si>
    <t>Design notes:</t>
  </si>
  <si>
    <t xml:space="preserve">M6 </t>
  </si>
  <si>
    <t xml:space="preserve">M4 × 40 mm </t>
  </si>
  <si>
    <t xml:space="preserve">M6-1 × 30 mm </t>
  </si>
  <si>
    <t xml:space="preserve">M6-1 × 13 mm </t>
  </si>
  <si>
    <t>The Channel Crate Design Tool was designed for convenience and should only be used as a reference tool. CCI makes no representation about the accuracy, reliability and completeness of this tool or the results to be obtained from its use. CCI assumes no responsibility related to any express, implied or statutory warranties in accordance with the calculations and tabulated results generated by this tool. 
© Government of Canada, Canadian Conservation Institute, 2024</t>
  </si>
  <si>
    <t xml:space="preserve">This design tool is meant to be used with CCI Note 20/1                                                               .                                                                   The tool calculates the dimensions of each plywood and triwall part, using the same equations shown in the sections "Channel parts and skids" and "Ccover panels and fasteners" in the Note. It also calculates external crate dimensions, the crate weight, the spacing between cover fasteners, the vertical and horizontal rib count as well as the total quantity and cost of materials and hardware. </t>
  </si>
  <si>
    <t>1. Skid can be lumber or plywood laminate.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</si>
</sst>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164" formatCode="&quot;$&quot;#,##0.00"/>
    <numFmt numFmtId="165" formatCode="0.0"/>
    <numFmt numFmtId="166" formatCode="0.000"/>
    <numFmt numFmtId="167" formatCode="#,##0.0"/>
    <numFmt numFmtId="168" formatCode="#,##0.00_ ;[Red]\-#,##0.00\ "/>
    <numFmt numFmtId="169" formatCode="0.0000"/>
    <numFmt numFmtId="170" formatCode="#\ ???/???"/>
  </numFmts>
  <fonts count="46"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1"/>
      <color theme="1"/>
      <name val="Calibri"/>
      <family val="2"/>
      <scheme val="minor"/>
    </font>
    <font>
      <sz val="11"/>
      <color theme="1"/>
      <name val="Calibri"/>
      <family val="2"/>
    </font>
    <font>
      <sz val="12"/>
      <color rgb="FF000000"/>
      <name val="Arial"/>
      <family val="2"/>
    </font>
    <font>
      <sz val="12"/>
      <color theme="1"/>
      <name val="Arial"/>
      <family val="2"/>
    </font>
    <font>
      <sz val="14"/>
      <color theme="1"/>
      <name val="Calibri"/>
      <family val="2"/>
      <scheme val="minor"/>
    </font>
    <font>
      <sz val="8"/>
      <name val="Calibri"/>
      <family val="2"/>
      <scheme val="minor"/>
    </font>
    <font>
      <b/>
      <sz val="12"/>
      <color theme="1"/>
      <name val="Arial"/>
      <family val="2"/>
    </font>
    <font>
      <b/>
      <u/>
      <sz val="12"/>
      <color theme="1"/>
      <name val="Arial"/>
      <family val="2"/>
    </font>
    <font>
      <sz val="8"/>
      <color theme="1"/>
      <name val="Calibri"/>
      <family val="2"/>
      <scheme val="minor"/>
    </font>
    <font>
      <u/>
      <sz val="11"/>
      <color theme="10"/>
      <name val="Calibri"/>
      <family val="2"/>
      <scheme val="minor"/>
    </font>
    <font>
      <b/>
      <sz val="12"/>
      <color rgb="FF000000"/>
      <name val="Arial"/>
      <family val="2"/>
    </font>
    <font>
      <b/>
      <sz val="20"/>
      <color rgb="FF000000"/>
      <name val="Arial"/>
      <family val="2"/>
    </font>
    <font>
      <sz val="12"/>
      <color theme="9" tint="-0.499984740745262"/>
      <name val="Arial"/>
      <family val="2"/>
    </font>
    <font>
      <sz val="12"/>
      <name val="Arial"/>
      <family val="2"/>
    </font>
    <font>
      <u/>
      <sz val="12"/>
      <color rgb="FF0563C1"/>
      <name val="Arial"/>
      <family val="2"/>
    </font>
    <font>
      <b/>
      <sz val="18"/>
      <color theme="1"/>
      <name val="Arial"/>
      <family val="2"/>
    </font>
    <font>
      <sz val="11"/>
      <color theme="1"/>
      <name val="Arial"/>
      <family val="2"/>
    </font>
    <font>
      <u/>
      <sz val="12"/>
      <color rgb="FF0033CC"/>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s>
  <borders count="16">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37" fillId="0" borderId="0" applyNumberFormat="0" applyFill="0" applyBorder="0" applyAlignment="0" applyProtection="0"/>
  </cellStyleXfs>
  <cellXfs count="339">
    <xf numFmtId="0" fontId="0" fillId="0" borderId="0" xfId="0"/>
    <xf numFmtId="0" fontId="0" fillId="0" borderId="2" xfId="0" applyBorder="1"/>
    <xf numFmtId="0" fontId="28" fillId="0" borderId="0" xfId="0" applyFont="1"/>
    <xf numFmtId="0" fontId="0" fillId="0" borderId="0" xfId="0" applyAlignment="1">
      <alignment horizontal="center"/>
    </xf>
    <xf numFmtId="0" fontId="29" fillId="0" borderId="0" xfId="0" applyFont="1" applyAlignment="1">
      <alignment horizontal="center" vertical="center"/>
    </xf>
    <xf numFmtId="0" fontId="0" fillId="0" borderId="0" xfId="0" applyAlignment="1">
      <alignment horizontal="center" vertical="center"/>
    </xf>
    <xf numFmtId="0" fontId="28" fillId="5" borderId="0" xfId="0" applyFont="1" applyFill="1" applyAlignment="1">
      <alignment horizontal="left"/>
    </xf>
    <xf numFmtId="0" fontId="32" fillId="0" borderId="0" xfId="0" applyFont="1" applyAlignment="1">
      <alignment horizontal="center"/>
    </xf>
    <xf numFmtId="0" fontId="34" fillId="0" borderId="4" xfId="0" applyFont="1" applyBorder="1" applyAlignment="1">
      <alignment horizontal="center"/>
    </xf>
    <xf numFmtId="0" fontId="34" fillId="0" borderId="9" xfId="0" applyFont="1" applyBorder="1" applyAlignment="1">
      <alignment horizontal="center"/>
    </xf>
    <xf numFmtId="0" fontId="34" fillId="0" borderId="10" xfId="0" applyFont="1" applyBorder="1" applyAlignment="1">
      <alignment horizontal="center"/>
    </xf>
    <xf numFmtId="0" fontId="34" fillId="0" borderId="11" xfId="0" applyFont="1" applyBorder="1" applyAlignment="1">
      <alignment horizontal="center"/>
    </xf>
    <xf numFmtId="0" fontId="31" fillId="0" borderId="0" xfId="0" applyFont="1"/>
    <xf numFmtId="0" fontId="31" fillId="5" borderId="0" xfId="0" applyFont="1" applyFill="1" applyAlignment="1">
      <alignment horizontal="left"/>
    </xf>
    <xf numFmtId="0" fontId="31" fillId="0" borderId="0" xfId="0" applyFont="1" applyAlignment="1">
      <alignment horizontal="center"/>
    </xf>
    <xf numFmtId="0" fontId="34" fillId="0" borderId="0" xfId="0" applyFont="1"/>
    <xf numFmtId="0" fontId="31" fillId="2" borderId="4" xfId="0" applyFont="1" applyFill="1" applyBorder="1" applyAlignment="1" applyProtection="1">
      <alignment horizontal="center"/>
      <protection locked="0"/>
    </xf>
    <xf numFmtId="0" fontId="34" fillId="0" borderId="0" xfId="0" applyFont="1" applyAlignment="1">
      <alignment horizontal="left"/>
    </xf>
    <xf numFmtId="164" fontId="31" fillId="0" borderId="0" xfId="0" applyNumberFormat="1" applyFont="1" applyAlignment="1">
      <alignment horizontal="right"/>
    </xf>
    <xf numFmtId="0" fontId="35" fillId="0" borderId="0" xfId="0" applyFont="1" applyAlignment="1">
      <alignment horizontal="right"/>
    </xf>
    <xf numFmtId="0" fontId="34" fillId="0" borderId="9" xfId="0" applyFont="1" applyBorder="1"/>
    <xf numFmtId="0" fontId="34" fillId="0" borderId="4" xfId="0" applyFont="1" applyBorder="1" applyAlignment="1">
      <alignment horizontal="center" vertical="center"/>
    </xf>
    <xf numFmtId="0" fontId="34" fillId="0" borderId="8" xfId="0" applyFont="1" applyBorder="1" applyAlignment="1">
      <alignment horizontal="center"/>
    </xf>
    <xf numFmtId="0" fontId="34" fillId="0" borderId="9" xfId="0" applyFont="1" applyBorder="1" applyAlignment="1">
      <alignment horizontal="left"/>
    </xf>
    <xf numFmtId="0" fontId="34" fillId="0" borderId="13" xfId="0" applyFont="1" applyBorder="1" applyAlignment="1">
      <alignment horizontal="center"/>
    </xf>
    <xf numFmtId="0" fontId="34" fillId="0" borderId="12" xfId="0" applyFont="1" applyBorder="1" applyAlignment="1">
      <alignment horizontal="center"/>
    </xf>
    <xf numFmtId="164" fontId="31" fillId="2" borderId="15" xfId="0" applyNumberFormat="1" applyFont="1" applyFill="1" applyBorder="1" applyAlignment="1" applyProtection="1">
      <alignment horizontal="center"/>
      <protection locked="0"/>
    </xf>
    <xf numFmtId="164" fontId="31" fillId="2" borderId="4" xfId="0" applyNumberFormat="1" applyFont="1" applyFill="1" applyBorder="1" applyAlignment="1" applyProtection="1">
      <alignment horizontal="center"/>
      <protection locked="0"/>
    </xf>
    <xf numFmtId="0" fontId="34" fillId="0" borderId="4" xfId="0" applyFont="1" applyBorder="1" applyAlignment="1">
      <alignment horizontal="left"/>
    </xf>
    <xf numFmtId="1" fontId="34" fillId="0" borderId="4" xfId="0" applyNumberFormat="1" applyFont="1" applyBorder="1" applyAlignment="1">
      <alignment horizontal="center"/>
    </xf>
    <xf numFmtId="0" fontId="31" fillId="3" borderId="5" xfId="0" applyFont="1" applyFill="1" applyBorder="1" applyAlignment="1">
      <alignment horizontal="left"/>
    </xf>
    <xf numFmtId="0" fontId="31" fillId="3" borderId="6" xfId="0" applyFont="1" applyFill="1" applyBorder="1"/>
    <xf numFmtId="8" fontId="31" fillId="0" borderId="0" xfId="0" applyNumberFormat="1" applyFont="1"/>
    <xf numFmtId="0" fontId="34" fillId="5" borderId="9" xfId="0" applyFont="1" applyFill="1" applyBorder="1" applyAlignment="1">
      <alignment horizontal="left"/>
    </xf>
    <xf numFmtId="0" fontId="34" fillId="5" borderId="10" xfId="0" applyFont="1" applyFill="1" applyBorder="1" applyAlignment="1">
      <alignment horizontal="center"/>
    </xf>
    <xf numFmtId="0" fontId="31" fillId="3" borderId="9" xfId="0" applyFont="1" applyFill="1" applyBorder="1" applyAlignment="1">
      <alignment horizontal="left" vertical="center"/>
    </xf>
    <xf numFmtId="0" fontId="31" fillId="3" borderId="10" xfId="0" applyFont="1" applyFill="1" applyBorder="1"/>
    <xf numFmtId="0" fontId="31" fillId="5" borderId="9" xfId="0" applyFont="1" applyFill="1" applyBorder="1" applyAlignment="1">
      <alignment horizontal="left" vertical="center"/>
    </xf>
    <xf numFmtId="0" fontId="31" fillId="5" borderId="10" xfId="0" applyFont="1" applyFill="1" applyBorder="1"/>
    <xf numFmtId="164" fontId="31" fillId="2" borderId="4" xfId="0" applyNumberFormat="1" applyFont="1" applyFill="1" applyBorder="1" applyAlignment="1" applyProtection="1">
      <alignment horizontal="center" vertical="center"/>
      <protection locked="0"/>
    </xf>
    <xf numFmtId="2" fontId="31" fillId="2" borderId="4" xfId="0" applyNumberFormat="1" applyFont="1" applyFill="1" applyBorder="1" applyAlignment="1" applyProtection="1">
      <alignment horizontal="center"/>
      <protection locked="0"/>
    </xf>
    <xf numFmtId="0" fontId="34" fillId="0" borderId="12" xfId="0" applyFont="1" applyBorder="1" applyAlignment="1">
      <alignment horizontal="left"/>
    </xf>
    <xf numFmtId="165" fontId="31" fillId="0" borderId="0" xfId="0" applyNumberFormat="1" applyFont="1" applyAlignment="1">
      <alignment horizontal="right" vertical="center"/>
    </xf>
    <xf numFmtId="0" fontId="31" fillId="0" borderId="0" xfId="0" applyFont="1" applyAlignment="1">
      <alignment horizontal="right" vertical="center"/>
    </xf>
    <xf numFmtId="0" fontId="34" fillId="5" borderId="11" xfId="0" applyFont="1" applyFill="1" applyBorder="1" applyAlignment="1">
      <alignment horizontal="center"/>
    </xf>
    <xf numFmtId="0" fontId="34" fillId="0" borderId="10" xfId="0" applyFont="1" applyBorder="1" applyAlignment="1">
      <alignment horizontal="left"/>
    </xf>
    <xf numFmtId="0" fontId="34" fillId="0" borderId="15" xfId="0" applyFont="1" applyBorder="1" applyAlignment="1">
      <alignment horizontal="center" vertical="center"/>
    </xf>
    <xf numFmtId="0" fontId="27" fillId="0" borderId="0" xfId="0" applyFont="1"/>
    <xf numFmtId="0" fontId="34" fillId="0" borderId="11" xfId="0" applyFont="1" applyBorder="1" applyAlignment="1">
      <alignment horizontal="left"/>
    </xf>
    <xf numFmtId="0" fontId="34" fillId="0" borderId="14" xfId="0" applyFont="1" applyBorder="1" applyAlignment="1">
      <alignment horizontal="center"/>
    </xf>
    <xf numFmtId="0" fontId="34" fillId="0" borderId="13" xfId="0" applyFont="1" applyBorder="1" applyAlignment="1">
      <alignment horizontal="left"/>
    </xf>
    <xf numFmtId="0" fontId="34" fillId="0" borderId="3" xfId="0" applyFont="1" applyBorder="1" applyAlignment="1">
      <alignment horizontal="center" vertical="center"/>
    </xf>
    <xf numFmtId="0" fontId="34" fillId="0" borderId="15" xfId="0" applyFont="1" applyBorder="1" applyAlignment="1">
      <alignment horizontal="center"/>
    </xf>
    <xf numFmtId="0" fontId="34" fillId="0" borderId="3" xfId="0" applyFont="1" applyBorder="1" applyAlignment="1">
      <alignment horizontal="center"/>
    </xf>
    <xf numFmtId="164" fontId="34" fillId="0" borderId="4" xfId="0" applyNumberFormat="1" applyFont="1" applyBorder="1"/>
    <xf numFmtId="164" fontId="34" fillId="0" borderId="11" xfId="0" applyNumberFormat="1" applyFont="1" applyBorder="1"/>
    <xf numFmtId="3" fontId="34" fillId="0" borderId="7" xfId="0" applyNumberFormat="1" applyFont="1" applyBorder="1"/>
    <xf numFmtId="0" fontId="34" fillId="0" borderId="14" xfId="0" applyFont="1" applyBorder="1" applyAlignment="1">
      <alignment horizontal="center" vertical="center"/>
    </xf>
    <xf numFmtId="165" fontId="34" fillId="0" borderId="2" xfId="0" applyNumberFormat="1" applyFont="1" applyBorder="1" applyAlignment="1">
      <alignment horizontal="center"/>
    </xf>
    <xf numFmtId="165" fontId="34" fillId="0" borderId="7" xfId="0" applyNumberFormat="1" applyFont="1" applyBorder="1" applyAlignment="1">
      <alignment horizontal="center"/>
    </xf>
    <xf numFmtId="0" fontId="34" fillId="0" borderId="6" xfId="0" applyFont="1" applyBorder="1" applyAlignment="1">
      <alignment horizontal="left"/>
    </xf>
    <xf numFmtId="0" fontId="34" fillId="5" borderId="0" xfId="0" applyFont="1" applyFill="1" applyAlignment="1">
      <alignment horizontal="left"/>
    </xf>
    <xf numFmtId="0" fontId="34" fillId="0" borderId="1" xfId="0" applyFont="1" applyBorder="1" applyAlignment="1">
      <alignment horizontal="center"/>
    </xf>
    <xf numFmtId="0" fontId="34" fillId="0" borderId="2" xfId="0" applyFont="1" applyBorder="1" applyAlignment="1">
      <alignment horizontal="center"/>
    </xf>
    <xf numFmtId="0" fontId="34" fillId="0" borderId="4" xfId="0" applyFont="1" applyBorder="1"/>
    <xf numFmtId="1" fontId="34" fillId="0" borderId="11" xfId="0" applyNumberFormat="1" applyFont="1" applyBorder="1" applyAlignment="1">
      <alignment horizontal="center"/>
    </xf>
    <xf numFmtId="0" fontId="34" fillId="5" borderId="3" xfId="0" applyFont="1" applyFill="1" applyBorder="1" applyAlignment="1">
      <alignment horizontal="center"/>
    </xf>
    <xf numFmtId="0" fontId="34" fillId="4" borderId="4" xfId="0" applyFont="1" applyFill="1" applyBorder="1" applyAlignment="1">
      <alignment horizontal="center"/>
    </xf>
    <xf numFmtId="0" fontId="34" fillId="0" borderId="4" xfId="0" applyFont="1" applyBorder="1" applyAlignment="1">
      <alignment horizontal="center" wrapText="1"/>
    </xf>
    <xf numFmtId="0" fontId="34" fillId="0" borderId="4" xfId="0" applyFont="1" applyBorder="1" applyAlignment="1">
      <alignment horizontal="center" vertical="center" wrapText="1"/>
    </xf>
    <xf numFmtId="0" fontId="39" fillId="0" borderId="0" xfId="0" applyFont="1" applyAlignment="1">
      <alignment vertical="center"/>
    </xf>
    <xf numFmtId="0" fontId="38" fillId="0" borderId="0" xfId="0" applyFont="1" applyAlignment="1">
      <alignment vertical="center"/>
    </xf>
    <xf numFmtId="0" fontId="26" fillId="0" borderId="0" xfId="0" applyFont="1" applyAlignment="1">
      <alignment horizontal="left" wrapText="1"/>
    </xf>
    <xf numFmtId="0" fontId="43" fillId="0" borderId="0" xfId="0" applyFont="1"/>
    <xf numFmtId="0" fontId="26" fillId="3" borderId="5" xfId="0" applyFont="1" applyFill="1" applyBorder="1"/>
    <xf numFmtId="13" fontId="25" fillId="0" borderId="0" xfId="0" applyNumberFormat="1" applyFont="1"/>
    <xf numFmtId="0" fontId="25" fillId="0" borderId="0" xfId="0" applyFont="1"/>
    <xf numFmtId="0" fontId="34" fillId="0" borderId="15" xfId="0" applyFont="1" applyBorder="1"/>
    <xf numFmtId="0" fontId="31" fillId="2" borderId="4" xfId="0" applyFont="1" applyFill="1" applyBorder="1" applyAlignment="1" applyProtection="1">
      <alignment horizontal="center" vertical="center"/>
      <protection locked="0"/>
    </xf>
    <xf numFmtId="0" fontId="31" fillId="0" borderId="0" xfId="0" applyFont="1" applyAlignment="1">
      <alignment horizontal="right"/>
    </xf>
    <xf numFmtId="0" fontId="0" fillId="0" borderId="0" xfId="0" applyAlignment="1">
      <alignment horizontal="right"/>
    </xf>
    <xf numFmtId="0" fontId="31" fillId="5" borderId="5" xfId="0" applyFont="1" applyFill="1" applyBorder="1" applyAlignment="1">
      <alignment horizontal="left"/>
    </xf>
    <xf numFmtId="0" fontId="31" fillId="5" borderId="6" xfId="0" applyFont="1" applyFill="1" applyBorder="1"/>
    <xf numFmtId="0" fontId="31" fillId="5" borderId="7" xfId="0" applyFont="1" applyFill="1" applyBorder="1"/>
    <xf numFmtId="0" fontId="27" fillId="5" borderId="9" xfId="0" applyFont="1" applyFill="1" applyBorder="1"/>
    <xf numFmtId="0" fontId="31" fillId="5" borderId="11" xfId="0" applyFont="1" applyFill="1" applyBorder="1"/>
    <xf numFmtId="0" fontId="26" fillId="5" borderId="9" xfId="0" applyFont="1" applyFill="1" applyBorder="1"/>
    <xf numFmtId="0" fontId="31" fillId="5" borderId="9" xfId="0" applyFont="1" applyFill="1" applyBorder="1" applyAlignment="1">
      <alignment horizontal="left"/>
    </xf>
    <xf numFmtId="0" fontId="0" fillId="5" borderId="10" xfId="0" applyFill="1" applyBorder="1"/>
    <xf numFmtId="0" fontId="26" fillId="5" borderId="10" xfId="0" applyFont="1" applyFill="1" applyBorder="1" applyAlignment="1">
      <alignment horizontal="left"/>
    </xf>
    <xf numFmtId="0" fontId="34" fillId="5" borderId="4" xfId="0" applyFont="1" applyFill="1" applyBorder="1" applyAlignment="1">
      <alignment horizontal="left"/>
    </xf>
    <xf numFmtId="0" fontId="22" fillId="0" borderId="0" xfId="0" applyFont="1"/>
    <xf numFmtId="0" fontId="31" fillId="3" borderId="9" xfId="0" applyFont="1" applyFill="1" applyBorder="1" applyAlignment="1">
      <alignment horizontal="left"/>
    </xf>
    <xf numFmtId="0" fontId="31" fillId="3" borderId="11" xfId="0" applyFont="1" applyFill="1" applyBorder="1"/>
    <xf numFmtId="0" fontId="0" fillId="3" borderId="10" xfId="0" applyFill="1" applyBorder="1"/>
    <xf numFmtId="0" fontId="31" fillId="3" borderId="10" xfId="0" quotePrefix="1" applyFont="1" applyFill="1" applyBorder="1" applyAlignment="1">
      <alignment horizontal="left"/>
    </xf>
    <xf numFmtId="0" fontId="26" fillId="3" borderId="10" xfId="0" quotePrefix="1" applyFont="1" applyFill="1" applyBorder="1" applyAlignment="1">
      <alignment horizontal="left"/>
    </xf>
    <xf numFmtId="0" fontId="26" fillId="3" borderId="9" xfId="0" applyFont="1" applyFill="1" applyBorder="1"/>
    <xf numFmtId="0" fontId="22" fillId="0" borderId="0" xfId="0" applyFont="1" applyAlignment="1">
      <alignment horizontal="left" vertical="center"/>
    </xf>
    <xf numFmtId="0" fontId="26" fillId="0" borderId="0" xfId="0" applyFont="1" applyAlignment="1">
      <alignment horizontal="right"/>
    </xf>
    <xf numFmtId="0" fontId="31" fillId="0" borderId="0" xfId="0" applyFont="1" applyAlignment="1">
      <alignment horizontal="right" vertical="top"/>
    </xf>
    <xf numFmtId="0" fontId="31" fillId="5" borderId="0" xfId="0" applyFont="1" applyFill="1" applyAlignment="1">
      <alignment horizontal="right"/>
    </xf>
    <xf numFmtId="0" fontId="21" fillId="0" borderId="0" xfId="0" applyFont="1" applyAlignment="1">
      <alignment horizontal="left" vertical="center"/>
    </xf>
    <xf numFmtId="0" fontId="21" fillId="0" borderId="0" xfId="0" applyFont="1" applyAlignment="1">
      <alignment vertical="center"/>
    </xf>
    <xf numFmtId="0" fontId="34" fillId="0" borderId="14" xfId="0" applyFont="1" applyBorder="1"/>
    <xf numFmtId="0" fontId="34" fillId="5" borderId="4" xfId="0" applyFont="1" applyFill="1" applyBorder="1" applyAlignment="1">
      <alignment horizontal="center"/>
    </xf>
    <xf numFmtId="0" fontId="0" fillId="5" borderId="0" xfId="0" applyFill="1"/>
    <xf numFmtId="0" fontId="0" fillId="0" borderId="11" xfId="0" applyBorder="1"/>
    <xf numFmtId="0" fontId="18" fillId="3" borderId="9" xfId="0" applyFont="1" applyFill="1" applyBorder="1"/>
    <xf numFmtId="0" fontId="18" fillId="3" borderId="9" xfId="0" applyFont="1" applyFill="1" applyBorder="1" applyAlignment="1">
      <alignment horizontal="left"/>
    </xf>
    <xf numFmtId="165" fontId="31" fillId="2" borderId="15" xfId="0" applyNumberFormat="1" applyFont="1" applyFill="1" applyBorder="1" applyAlignment="1" applyProtection="1">
      <alignment horizontal="center"/>
      <protection locked="0"/>
    </xf>
    <xf numFmtId="165" fontId="31" fillId="2" borderId="4" xfId="0" applyNumberFormat="1" applyFont="1" applyFill="1" applyBorder="1" applyAlignment="1" applyProtection="1">
      <alignment horizontal="center"/>
      <protection locked="0"/>
    </xf>
    <xf numFmtId="165" fontId="31" fillId="5" borderId="15" xfId="0" applyNumberFormat="1" applyFont="1" applyFill="1" applyBorder="1" applyAlignment="1">
      <alignment horizontal="center"/>
    </xf>
    <xf numFmtId="165" fontId="31" fillId="5" borderId="4" xfId="0" applyNumberFormat="1" applyFont="1" applyFill="1" applyBorder="1" applyAlignment="1">
      <alignment horizontal="center"/>
    </xf>
    <xf numFmtId="169" fontId="18" fillId="2" borderId="4" xfId="0" applyNumberFormat="1" applyFont="1" applyFill="1" applyBorder="1" applyAlignment="1" applyProtection="1">
      <alignment horizontal="center"/>
      <protection locked="0"/>
    </xf>
    <xf numFmtId="168" fontId="31" fillId="5" borderId="4" xfId="0" applyNumberFormat="1" applyFont="1" applyFill="1" applyBorder="1" applyAlignment="1">
      <alignment horizontal="center"/>
    </xf>
    <xf numFmtId="2" fontId="31" fillId="5" borderId="4" xfId="0" applyNumberFormat="1" applyFont="1" applyFill="1" applyBorder="1" applyAlignment="1">
      <alignment horizontal="center" vertical="center"/>
    </xf>
    <xf numFmtId="2" fontId="31" fillId="5" borderId="4" xfId="0" applyNumberFormat="1" applyFont="1" applyFill="1" applyBorder="1" applyAlignment="1">
      <alignment horizontal="center"/>
    </xf>
    <xf numFmtId="1" fontId="31" fillId="5" borderId="4" xfId="0" applyNumberFormat="1" applyFont="1" applyFill="1" applyBorder="1" applyAlignment="1">
      <alignment horizontal="center"/>
    </xf>
    <xf numFmtId="13" fontId="17" fillId="2" borderId="4" xfId="0" applyNumberFormat="1" applyFont="1" applyFill="1" applyBorder="1" applyAlignment="1" applyProtection="1">
      <alignment horizontal="center"/>
      <protection locked="0"/>
    </xf>
    <xf numFmtId="170" fontId="17" fillId="2" borderId="4" xfId="0" applyNumberFormat="1" applyFont="1" applyFill="1" applyBorder="1" applyAlignment="1" applyProtection="1">
      <alignment horizontal="center"/>
      <protection locked="0"/>
    </xf>
    <xf numFmtId="0" fontId="23" fillId="0" borderId="0" xfId="0" applyFont="1"/>
    <xf numFmtId="0" fontId="0" fillId="5" borderId="0" xfId="0" applyFill="1" applyAlignment="1">
      <alignment horizontal="right"/>
    </xf>
    <xf numFmtId="0" fontId="0" fillId="5" borderId="0" xfId="0" applyFill="1" applyAlignment="1">
      <alignment horizontal="center"/>
    </xf>
    <xf numFmtId="0" fontId="31" fillId="5" borderId="0" xfId="0" applyFont="1" applyFill="1"/>
    <xf numFmtId="0" fontId="31" fillId="5" borderId="0" xfId="0" applyFont="1" applyFill="1" applyAlignment="1">
      <alignment horizontal="center"/>
    </xf>
    <xf numFmtId="0" fontId="17" fillId="5" borderId="9" xfId="0" applyFont="1" applyFill="1" applyBorder="1" applyAlignment="1">
      <alignment horizontal="left"/>
    </xf>
    <xf numFmtId="0" fontId="17" fillId="5" borderId="0" xfId="0" applyFont="1" applyFill="1"/>
    <xf numFmtId="0" fontId="17" fillId="5" borderId="9" xfId="0" applyFont="1" applyFill="1" applyBorder="1"/>
    <xf numFmtId="0" fontId="27" fillId="5" borderId="5" xfId="0" applyFont="1" applyFill="1" applyBorder="1"/>
    <xf numFmtId="165" fontId="31" fillId="5" borderId="4" xfId="0" applyNumberFormat="1" applyFont="1" applyFill="1" applyBorder="1" applyAlignment="1">
      <alignment horizontal="center" vertical="center"/>
    </xf>
    <xf numFmtId="164" fontId="31" fillId="5" borderId="4" xfId="0" applyNumberFormat="1" applyFont="1" applyFill="1" applyBorder="1" applyAlignment="1">
      <alignment horizontal="right"/>
    </xf>
    <xf numFmtId="0" fontId="31" fillId="5" borderId="9" xfId="0" applyFont="1" applyFill="1" applyBorder="1"/>
    <xf numFmtId="0" fontId="22" fillId="5" borderId="5" xfId="0" applyFont="1" applyFill="1" applyBorder="1" applyAlignment="1">
      <alignment horizontal="left"/>
    </xf>
    <xf numFmtId="0" fontId="22" fillId="5" borderId="4" xfId="0" applyFont="1" applyFill="1" applyBorder="1" applyAlignment="1">
      <alignment horizontal="left"/>
    </xf>
    <xf numFmtId="0" fontId="24" fillId="5" borderId="9" xfId="0" applyFont="1" applyFill="1" applyBorder="1" applyAlignment="1">
      <alignment horizontal="left"/>
    </xf>
    <xf numFmtId="0" fontId="22" fillId="5" borderId="9" xfId="0" quotePrefix="1" applyFont="1" applyFill="1" applyBorder="1" applyAlignment="1">
      <alignment horizontal="left" vertical="center"/>
    </xf>
    <xf numFmtId="0" fontId="24" fillId="5" borderId="5" xfId="0" applyFont="1" applyFill="1" applyBorder="1" applyAlignment="1">
      <alignment horizontal="left"/>
    </xf>
    <xf numFmtId="0" fontId="28" fillId="5" borderId="0" xfId="0" applyFont="1" applyFill="1" applyAlignment="1">
      <alignment horizontal="center"/>
    </xf>
    <xf numFmtId="0" fontId="0" fillId="5" borderId="0" xfId="0" quotePrefix="1" applyFill="1" applyAlignment="1">
      <alignment horizontal="left"/>
    </xf>
    <xf numFmtId="0" fontId="16" fillId="5" borderId="9" xfId="0" applyFont="1" applyFill="1" applyBorder="1" applyAlignment="1">
      <alignment horizontal="left"/>
    </xf>
    <xf numFmtId="0" fontId="27" fillId="5" borderId="5" xfId="0" applyFont="1" applyFill="1" applyBorder="1" applyAlignment="1">
      <alignment horizontal="left"/>
    </xf>
    <xf numFmtId="0" fontId="31" fillId="5" borderId="4" xfId="0" applyFont="1" applyFill="1" applyBorder="1" applyAlignment="1">
      <alignment horizontal="center"/>
    </xf>
    <xf numFmtId="0" fontId="43" fillId="4" borderId="0" xfId="0" applyFont="1" applyFill="1" applyAlignment="1">
      <alignment horizontal="left" vertical="center"/>
    </xf>
    <xf numFmtId="0" fontId="0" fillId="4" borderId="0" xfId="0" applyFill="1"/>
    <xf numFmtId="0" fontId="43" fillId="4" borderId="0" xfId="0" applyFont="1" applyFill="1" applyAlignment="1">
      <alignment vertical="center"/>
    </xf>
    <xf numFmtId="0" fontId="15" fillId="5" borderId="9" xfId="0" applyFont="1" applyFill="1" applyBorder="1" applyAlignment="1">
      <alignment horizontal="left"/>
    </xf>
    <xf numFmtId="0" fontId="34" fillId="0" borderId="9" xfId="0" applyFont="1" applyBorder="1" applyAlignment="1">
      <alignment vertical="center"/>
    </xf>
    <xf numFmtId="1" fontId="15" fillId="0" borderId="4" xfId="0" applyNumberFormat="1" applyFont="1" applyBorder="1" applyAlignment="1">
      <alignment horizontal="center"/>
    </xf>
    <xf numFmtId="1" fontId="15" fillId="0" borderId="15" xfId="0" applyNumberFormat="1" applyFont="1" applyBorder="1" applyAlignment="1">
      <alignment horizontal="center"/>
    </xf>
    <xf numFmtId="0" fontId="13" fillId="5" borderId="9" xfId="0" applyFont="1" applyFill="1" applyBorder="1"/>
    <xf numFmtId="0" fontId="13" fillId="5" borderId="9" xfId="0" applyFont="1" applyFill="1" applyBorder="1" applyAlignment="1">
      <alignment horizontal="left"/>
    </xf>
    <xf numFmtId="0" fontId="13" fillId="5" borderId="5" xfId="0" applyFont="1" applyFill="1" applyBorder="1"/>
    <xf numFmtId="0" fontId="13" fillId="3" borderId="9" xfId="0" applyFont="1" applyFill="1" applyBorder="1" applyAlignment="1">
      <alignment horizontal="left"/>
    </xf>
    <xf numFmtId="0" fontId="30" fillId="0" borderId="0" xfId="0" applyFont="1" applyAlignment="1">
      <alignment horizontal="left" vertical="top" wrapText="1"/>
    </xf>
    <xf numFmtId="0" fontId="37" fillId="0" borderId="0" xfId="1"/>
    <xf numFmtId="0" fontId="12" fillId="0" borderId="0" xfId="0" applyFont="1" applyAlignment="1">
      <alignment vertical="center" wrapText="1"/>
    </xf>
    <xf numFmtId="0" fontId="12" fillId="0" borderId="0" xfId="0" applyFont="1" applyAlignment="1">
      <alignment wrapText="1"/>
    </xf>
    <xf numFmtId="0" fontId="34" fillId="5" borderId="0" xfId="0" applyFont="1" applyFill="1"/>
    <xf numFmtId="0" fontId="31" fillId="5" borderId="11" xfId="0" applyFont="1" applyFill="1" applyBorder="1" applyAlignment="1">
      <alignment horizontal="center"/>
    </xf>
    <xf numFmtId="1" fontId="31" fillId="5" borderId="11" xfId="0" applyNumberFormat="1" applyFont="1" applyFill="1" applyBorder="1" applyAlignment="1">
      <alignment horizontal="center"/>
    </xf>
    <xf numFmtId="0" fontId="31" fillId="5" borderId="15" xfId="0" applyFont="1" applyFill="1" applyBorder="1" applyAlignment="1">
      <alignment horizontal="center"/>
    </xf>
    <xf numFmtId="0" fontId="31" fillId="5" borderId="7" xfId="0" applyFont="1" applyFill="1" applyBorder="1" applyAlignment="1">
      <alignment horizontal="center"/>
    </xf>
    <xf numFmtId="0" fontId="34" fillId="5" borderId="9" xfId="0" applyFont="1" applyFill="1" applyBorder="1" applyAlignment="1">
      <alignment horizontal="center" vertical="center"/>
    </xf>
    <xf numFmtId="0" fontId="34" fillId="5" borderId="4" xfId="0" applyFont="1" applyFill="1" applyBorder="1" applyAlignment="1">
      <alignment horizontal="center" vertical="center"/>
    </xf>
    <xf numFmtId="0" fontId="26" fillId="5" borderId="0" xfId="0" applyFont="1" applyFill="1" applyAlignment="1">
      <alignment horizontal="left"/>
    </xf>
    <xf numFmtId="0" fontId="31" fillId="5" borderId="0" xfId="0" quotePrefix="1" applyFont="1" applyFill="1" applyAlignment="1">
      <alignment horizontal="left" vertical="center"/>
    </xf>
    <xf numFmtId="0" fontId="34" fillId="5" borderId="8" xfId="0" applyFont="1" applyFill="1" applyBorder="1" applyAlignment="1">
      <alignment horizontal="center"/>
    </xf>
    <xf numFmtId="0" fontId="34" fillId="5" borderId="9" xfId="0" applyFont="1" applyFill="1" applyBorder="1" applyAlignment="1">
      <alignment horizontal="center"/>
    </xf>
    <xf numFmtId="1" fontId="31" fillId="5" borderId="7" xfId="0" applyNumberFormat="1" applyFont="1" applyFill="1" applyBorder="1" applyAlignment="1">
      <alignment horizontal="center"/>
    </xf>
    <xf numFmtId="0" fontId="34" fillId="5" borderId="0" xfId="0" applyFont="1" applyFill="1" applyAlignment="1">
      <alignment horizontal="left" vertical="center"/>
    </xf>
    <xf numFmtId="0" fontId="34" fillId="5" borderId="9" xfId="0" applyFont="1" applyFill="1" applyBorder="1" applyAlignment="1">
      <alignment horizontal="right"/>
    </xf>
    <xf numFmtId="165" fontId="31" fillId="5" borderId="11" xfId="0" applyNumberFormat="1" applyFont="1" applyFill="1" applyBorder="1" applyAlignment="1">
      <alignment horizontal="center" vertical="center"/>
    </xf>
    <xf numFmtId="164" fontId="34" fillId="5" borderId="0" xfId="0" applyNumberFormat="1" applyFont="1" applyFill="1" applyAlignment="1">
      <alignment horizontal="right"/>
    </xf>
    <xf numFmtId="0" fontId="34" fillId="5" borderId="9" xfId="0" applyFont="1" applyFill="1" applyBorder="1" applyAlignment="1">
      <alignment horizontal="right" vertical="center"/>
    </xf>
    <xf numFmtId="0" fontId="11" fillId="0" borderId="0" xfId="0" applyFont="1" applyAlignment="1">
      <alignment vertical="center"/>
    </xf>
    <xf numFmtId="0" fontId="11" fillId="5" borderId="9" xfId="0" applyFont="1" applyFill="1" applyBorder="1"/>
    <xf numFmtId="0" fontId="31" fillId="5" borderId="12" xfId="0" applyFont="1" applyFill="1" applyBorder="1"/>
    <xf numFmtId="0" fontId="10" fillId="0" borderId="0" xfId="0" applyFont="1" applyAlignment="1">
      <alignment horizontal="left" vertical="center"/>
    </xf>
    <xf numFmtId="0" fontId="12" fillId="0" borderId="0" xfId="0" applyFont="1" applyAlignment="1">
      <alignment vertical="top" wrapText="1"/>
    </xf>
    <xf numFmtId="0" fontId="9" fillId="5" borderId="15" xfId="0" applyFont="1" applyFill="1" applyBorder="1" applyAlignment="1">
      <alignment horizontal="left"/>
    </xf>
    <xf numFmtId="0" fontId="8" fillId="5" borderId="9" xfId="0" applyFont="1" applyFill="1" applyBorder="1"/>
    <xf numFmtId="0" fontId="8" fillId="3" borderId="9" xfId="0" applyFont="1" applyFill="1" applyBorder="1"/>
    <xf numFmtId="13" fontId="20" fillId="5" borderId="4" xfId="0" applyNumberFormat="1" applyFont="1" applyFill="1" applyBorder="1" applyAlignment="1">
      <alignment horizontal="center"/>
    </xf>
    <xf numFmtId="13" fontId="31" fillId="5" borderId="4" xfId="0" applyNumberFormat="1" applyFont="1" applyFill="1" applyBorder="1" applyAlignment="1">
      <alignment horizontal="center"/>
    </xf>
    <xf numFmtId="0" fontId="7" fillId="0" borderId="8" xfId="0" applyFont="1" applyBorder="1"/>
    <xf numFmtId="0" fontId="34" fillId="5" borderId="13" xfId="0" applyFont="1" applyFill="1" applyBorder="1" applyAlignment="1">
      <alignment horizontal="left"/>
    </xf>
    <xf numFmtId="0" fontId="7" fillId="0" borderId="0" xfId="0" applyFont="1"/>
    <xf numFmtId="0" fontId="7" fillId="0" borderId="3" xfId="0" applyFont="1" applyBorder="1" applyAlignment="1">
      <alignment horizontal="center"/>
    </xf>
    <xf numFmtId="0" fontId="7" fillId="0" borderId="4" xfId="0" applyFont="1" applyBorder="1" applyAlignment="1">
      <alignment horizontal="center"/>
    </xf>
    <xf numFmtId="0" fontId="0" fillId="0" borderId="1" xfId="0" applyBorder="1"/>
    <xf numFmtId="0" fontId="7" fillId="0" borderId="12" xfId="0" applyFont="1" applyBorder="1"/>
    <xf numFmtId="0" fontId="7" fillId="0" borderId="13" xfId="0" applyFont="1" applyBorder="1"/>
    <xf numFmtId="166" fontId="7" fillId="0" borderId="2" xfId="0" applyNumberFormat="1" applyFont="1" applyBorder="1" applyAlignment="1">
      <alignment horizontal="center"/>
    </xf>
    <xf numFmtId="166" fontId="7" fillId="5" borderId="4" xfId="0" applyNumberFormat="1" applyFont="1" applyFill="1" applyBorder="1" applyAlignment="1">
      <alignment horizontal="center"/>
    </xf>
    <xf numFmtId="0" fontId="7" fillId="0" borderId="4" xfId="0" applyFont="1" applyBorder="1"/>
    <xf numFmtId="166" fontId="7" fillId="8" borderId="11" xfId="0" applyNumberFormat="1" applyFont="1" applyFill="1" applyBorder="1" applyAlignment="1">
      <alignment horizontal="center"/>
    </xf>
    <xf numFmtId="166" fontId="7" fillId="0" borderId="4" xfId="0" applyNumberFormat="1" applyFont="1" applyBorder="1" applyAlignment="1">
      <alignment horizontal="center"/>
    </xf>
    <xf numFmtId="164" fontId="7" fillId="0" borderId="4" xfId="0" applyNumberFormat="1" applyFont="1" applyBorder="1" applyAlignment="1">
      <alignment horizontal="center"/>
    </xf>
    <xf numFmtId="0" fontId="7" fillId="4" borderId="1" xfId="0" applyFont="1" applyFill="1" applyBorder="1"/>
    <xf numFmtId="0" fontId="7" fillId="4" borderId="2" xfId="0" applyFont="1" applyFill="1" applyBorder="1"/>
    <xf numFmtId="0" fontId="7" fillId="5" borderId="4" xfId="0" applyFont="1" applyFill="1" applyBorder="1"/>
    <xf numFmtId="166" fontId="7" fillId="8" borderId="4" xfId="0" applyNumberFormat="1" applyFont="1" applyFill="1" applyBorder="1" applyAlignment="1">
      <alignment horizontal="center"/>
    </xf>
    <xf numFmtId="0" fontId="7" fillId="0" borderId="5" xfId="0" applyFont="1" applyBorder="1"/>
    <xf numFmtId="0" fontId="7" fillId="0" borderId="7" xfId="0" applyFont="1" applyBorder="1"/>
    <xf numFmtId="1" fontId="7" fillId="0" borderId="0" xfId="0" applyNumberFormat="1" applyFont="1"/>
    <xf numFmtId="165" fontId="7" fillId="0" borderId="0" xfId="0" applyNumberFormat="1" applyFont="1"/>
    <xf numFmtId="0" fontId="7" fillId="0" borderId="15" xfId="0" applyFont="1" applyBorder="1" applyAlignment="1">
      <alignment horizontal="center"/>
    </xf>
    <xf numFmtId="166" fontId="7" fillId="0" borderId="14" xfId="0" applyNumberFormat="1" applyFont="1" applyBorder="1" applyAlignment="1">
      <alignment horizontal="center"/>
    </xf>
    <xf numFmtId="164" fontId="7" fillId="0" borderId="14" xfId="0" applyNumberFormat="1" applyFont="1" applyBorder="1" applyAlignment="1">
      <alignment horizontal="center"/>
    </xf>
    <xf numFmtId="166" fontId="7" fillId="0" borderId="15" xfId="0" applyNumberFormat="1" applyFont="1" applyBorder="1" applyAlignment="1">
      <alignment horizontal="center"/>
    </xf>
    <xf numFmtId="164" fontId="7" fillId="0" borderId="15" xfId="0" applyNumberFormat="1" applyFont="1" applyBorder="1" applyAlignment="1">
      <alignment horizontal="center"/>
    </xf>
    <xf numFmtId="0" fontId="7" fillId="0" borderId="4" xfId="0" applyFont="1" applyBorder="1" applyAlignment="1">
      <alignment horizontal="left"/>
    </xf>
    <xf numFmtId="0" fontId="7" fillId="4" borderId="4" xfId="0" applyFont="1" applyFill="1" applyBorder="1" applyAlignment="1">
      <alignment horizontal="left"/>
    </xf>
    <xf numFmtId="0" fontId="7" fillId="4" borderId="4" xfId="0" applyFont="1" applyFill="1" applyBorder="1" applyAlignment="1">
      <alignment horizontal="center"/>
    </xf>
    <xf numFmtId="166" fontId="7" fillId="4" borderId="4" xfId="0" applyNumberFormat="1" applyFont="1" applyFill="1" applyBorder="1" applyAlignment="1">
      <alignment horizontal="center"/>
    </xf>
    <xf numFmtId="0" fontId="7" fillId="0" borderId="0" xfId="0" applyFont="1" applyAlignment="1">
      <alignment horizontal="center"/>
    </xf>
    <xf numFmtId="1" fontId="7" fillId="0" borderId="0" xfId="0" applyNumberFormat="1" applyFont="1" applyAlignment="1">
      <alignment horizontal="center"/>
    </xf>
    <xf numFmtId="0" fontId="7" fillId="0" borderId="11" xfId="0" applyFont="1" applyBorder="1" applyAlignment="1">
      <alignment horizontal="center"/>
    </xf>
    <xf numFmtId="0" fontId="7" fillId="0" borderId="3" xfId="0" applyFont="1" applyBorder="1"/>
    <xf numFmtId="0" fontId="7" fillId="0" borderId="1" xfId="0" applyFont="1" applyBorder="1"/>
    <xf numFmtId="0" fontId="7" fillId="0" borderId="2" xfId="0" applyFont="1" applyBorder="1"/>
    <xf numFmtId="0" fontId="7" fillId="8" borderId="4" xfId="0" applyFont="1" applyFill="1" applyBorder="1" applyAlignment="1">
      <alignment horizontal="center"/>
    </xf>
    <xf numFmtId="167" fontId="7" fillId="0" borderId="4" xfId="0" applyNumberFormat="1" applyFont="1" applyBorder="1" applyAlignment="1">
      <alignment horizontal="center"/>
    </xf>
    <xf numFmtId="166" fontId="7" fillId="5" borderId="4" xfId="0" applyNumberFormat="1" applyFont="1" applyFill="1" applyBorder="1"/>
    <xf numFmtId="164" fontId="7" fillId="0" borderId="4" xfId="0" applyNumberFormat="1" applyFont="1" applyBorder="1" applyAlignment="1">
      <alignment horizontal="right"/>
    </xf>
    <xf numFmtId="165" fontId="7" fillId="0" borderId="4" xfId="0" applyNumberFormat="1" applyFont="1" applyBorder="1" applyAlignment="1">
      <alignment horizontal="center"/>
    </xf>
    <xf numFmtId="164" fontId="7" fillId="0" borderId="4" xfId="0" applyNumberFormat="1" applyFont="1" applyBorder="1"/>
    <xf numFmtId="2" fontId="7" fillId="0" borderId="4" xfId="0" applyNumberFormat="1" applyFont="1" applyBorder="1"/>
    <xf numFmtId="167" fontId="7" fillId="4" borderId="4" xfId="0" applyNumberFormat="1" applyFont="1" applyFill="1" applyBorder="1" applyAlignment="1">
      <alignment horizontal="center"/>
    </xf>
    <xf numFmtId="166" fontId="7" fillId="4" borderId="4" xfId="0" applyNumberFormat="1" applyFont="1" applyFill="1" applyBorder="1"/>
    <xf numFmtId="164" fontId="7" fillId="4" borderId="4" xfId="0" applyNumberFormat="1" applyFont="1" applyFill="1" applyBorder="1" applyAlignment="1">
      <alignment horizontal="right"/>
    </xf>
    <xf numFmtId="165" fontId="7" fillId="4" borderId="4" xfId="0" applyNumberFormat="1" applyFont="1" applyFill="1" applyBorder="1" applyAlignment="1">
      <alignment horizontal="center"/>
    </xf>
    <xf numFmtId="164" fontId="7" fillId="4" borderId="4" xfId="0" applyNumberFormat="1" applyFont="1" applyFill="1" applyBorder="1"/>
    <xf numFmtId="0" fontId="7" fillId="4" borderId="4" xfId="0" applyFont="1" applyFill="1" applyBorder="1"/>
    <xf numFmtId="2" fontId="7" fillId="4" borderId="4" xfId="0" applyNumberFormat="1" applyFont="1" applyFill="1" applyBorder="1"/>
    <xf numFmtId="1" fontId="7" fillId="4" borderId="4" xfId="0" applyNumberFormat="1" applyFont="1" applyFill="1" applyBorder="1" applyAlignment="1">
      <alignment horizontal="center"/>
    </xf>
    <xf numFmtId="14" fontId="7" fillId="4" borderId="4" xfId="0" quotePrefix="1" applyNumberFormat="1" applyFont="1" applyFill="1" applyBorder="1"/>
    <xf numFmtId="0" fontId="7" fillId="0" borderId="4" xfId="0" quotePrefix="1" applyFont="1" applyBorder="1" applyAlignment="1">
      <alignment horizontal="center"/>
    </xf>
    <xf numFmtId="0" fontId="7" fillId="4" borderId="4" xfId="0" quotePrefix="1" applyFont="1" applyFill="1" applyBorder="1" applyAlignment="1">
      <alignment horizontal="center"/>
    </xf>
    <xf numFmtId="1" fontId="7" fillId="0" borderId="4" xfId="0" applyNumberFormat="1" applyFont="1" applyBorder="1" applyAlignment="1">
      <alignment horizontal="center"/>
    </xf>
    <xf numFmtId="166" fontId="7" fillId="8" borderId="4" xfId="0" applyNumberFormat="1" applyFont="1" applyFill="1" applyBorder="1"/>
    <xf numFmtId="1" fontId="7" fillId="8" borderId="4" xfId="0" applyNumberFormat="1" applyFont="1" applyFill="1" applyBorder="1" applyAlignment="1">
      <alignment horizontal="center"/>
    </xf>
    <xf numFmtId="166" fontId="7" fillId="4" borderId="0" xfId="0" applyNumberFormat="1" applyFont="1" applyFill="1" applyAlignment="1">
      <alignment horizontal="center"/>
    </xf>
    <xf numFmtId="164" fontId="7" fillId="5" borderId="4" xfId="0" applyNumberFormat="1" applyFont="1" applyFill="1" applyBorder="1"/>
    <xf numFmtId="0" fontId="7" fillId="4" borderId="4" xfId="0" quotePrefix="1" applyFont="1" applyFill="1" applyBorder="1"/>
    <xf numFmtId="0" fontId="7" fillId="0" borderId="11" xfId="0" applyFont="1" applyBorder="1"/>
    <xf numFmtId="0" fontId="7" fillId="0" borderId="4" xfId="0" applyFont="1" applyBorder="1" applyAlignment="1">
      <alignment horizontal="center" vertical="center"/>
    </xf>
    <xf numFmtId="0" fontId="7" fillId="5" borderId="4" xfId="0" applyFont="1" applyFill="1" applyBorder="1" applyAlignment="1">
      <alignment horizontal="center" vertical="center"/>
    </xf>
    <xf numFmtId="0" fontId="7" fillId="5" borderId="4" xfId="0" applyFont="1" applyFill="1" applyBorder="1" applyAlignment="1">
      <alignment horizontal="center"/>
    </xf>
    <xf numFmtId="166" fontId="7" fillId="8" borderId="9" xfId="0" applyNumberFormat="1" applyFont="1" applyFill="1" applyBorder="1" applyAlignment="1">
      <alignment horizontal="center"/>
    </xf>
    <xf numFmtId="0" fontId="7" fillId="6" borderId="4" xfId="0" applyFont="1" applyFill="1" applyBorder="1"/>
    <xf numFmtId="0" fontId="44" fillId="6" borderId="4" xfId="0" applyFont="1" applyFill="1" applyBorder="1" applyAlignment="1">
      <alignment horizontal="center" vertical="center"/>
    </xf>
    <xf numFmtId="166" fontId="7" fillId="6" borderId="4" xfId="0" applyNumberFormat="1" applyFont="1" applyFill="1" applyBorder="1" applyAlignment="1">
      <alignment horizontal="center"/>
    </xf>
    <xf numFmtId="0" fontId="7" fillId="6" borderId="4" xfId="0" applyFont="1" applyFill="1" applyBorder="1" applyAlignment="1">
      <alignment horizontal="center" vertical="center"/>
    </xf>
    <xf numFmtId="0" fontId="7" fillId="6" borderId="4" xfId="0" applyFont="1" applyFill="1" applyBorder="1" applyAlignment="1">
      <alignment horizontal="center"/>
    </xf>
    <xf numFmtId="0" fontId="7" fillId="6" borderId="4" xfId="0" quotePrefix="1" applyFont="1" applyFill="1" applyBorder="1" applyAlignment="1">
      <alignment horizontal="center"/>
    </xf>
    <xf numFmtId="166" fontId="7" fillId="6" borderId="4" xfId="0" applyNumberFormat="1" applyFont="1" applyFill="1" applyBorder="1" applyAlignment="1">
      <alignment horizontal="center" vertical="center"/>
    </xf>
    <xf numFmtId="1" fontId="7" fillId="6" borderId="4" xfId="0" applyNumberFormat="1" applyFont="1" applyFill="1" applyBorder="1" applyAlignment="1">
      <alignment horizontal="center"/>
    </xf>
    <xf numFmtId="0" fontId="7" fillId="6" borderId="4" xfId="0" applyFont="1" applyFill="1" applyBorder="1" applyAlignment="1">
      <alignment horizontal="left"/>
    </xf>
    <xf numFmtId="166" fontId="7" fillId="6" borderId="4" xfId="0" applyNumberFormat="1" applyFont="1" applyFill="1" applyBorder="1"/>
    <xf numFmtId="0" fontId="0" fillId="6" borderId="4" xfId="0" applyFill="1" applyBorder="1" applyAlignment="1">
      <alignment horizontal="center" vertical="center"/>
    </xf>
    <xf numFmtId="166" fontId="7" fillId="0" borderId="4" xfId="0" applyNumberFormat="1" applyFont="1" applyBorder="1"/>
    <xf numFmtId="0" fontId="0" fillId="0" borderId="4" xfId="0" applyBorder="1" applyAlignment="1">
      <alignment horizontal="center" vertical="center"/>
    </xf>
    <xf numFmtId="0" fontId="0" fillId="0" borderId="4" xfId="0" applyBorder="1"/>
    <xf numFmtId="0" fontId="7" fillId="5" borderId="0" xfId="0" applyFont="1" applyFill="1"/>
    <xf numFmtId="0" fontId="34" fillId="0" borderId="5" xfId="0" applyFont="1" applyBorder="1"/>
    <xf numFmtId="1" fontId="34" fillId="0" borderId="7" xfId="0" applyNumberFormat="1" applyFont="1" applyBorder="1" applyAlignment="1">
      <alignment horizontal="center"/>
    </xf>
    <xf numFmtId="4" fontId="7" fillId="0" borderId="4" xfId="0" applyNumberFormat="1" applyFont="1" applyBorder="1"/>
    <xf numFmtId="4" fontId="7" fillId="4" borderId="4" xfId="0" applyNumberFormat="1" applyFont="1" applyFill="1" applyBorder="1"/>
    <xf numFmtId="0" fontId="34" fillId="0" borderId="12" xfId="0" applyFont="1" applyBorder="1"/>
    <xf numFmtId="0" fontId="7" fillId="0" borderId="14" xfId="0" applyFont="1" applyBorder="1"/>
    <xf numFmtId="0" fontId="7" fillId="0" borderId="15" xfId="0" applyFont="1" applyBorder="1"/>
    <xf numFmtId="164" fontId="7" fillId="8" borderId="15" xfId="0" applyNumberFormat="1" applyFont="1" applyFill="1" applyBorder="1" applyAlignment="1">
      <alignment horizontal="center" vertical="center"/>
    </xf>
    <xf numFmtId="164" fontId="7" fillId="8" borderId="4" xfId="0" applyNumberFormat="1" applyFont="1" applyFill="1" applyBorder="1" applyAlignment="1">
      <alignment horizontal="center" vertical="center"/>
    </xf>
    <xf numFmtId="0" fontId="44" fillId="0" borderId="4" xfId="0" applyFont="1" applyBorder="1"/>
    <xf numFmtId="2" fontId="7" fillId="8" borderId="4" xfId="0" applyNumberFormat="1" applyFont="1" applyFill="1" applyBorder="1" applyAlignment="1">
      <alignment horizontal="center" vertical="center"/>
    </xf>
    <xf numFmtId="0" fontId="7" fillId="8" borderId="4" xfId="0" applyFont="1" applyFill="1" applyBorder="1"/>
    <xf numFmtId="0" fontId="7" fillId="6" borderId="1" xfId="0" applyFont="1" applyFill="1" applyBorder="1" applyAlignment="1">
      <alignment horizontal="left"/>
    </xf>
    <xf numFmtId="0" fontId="7" fillId="0" borderId="1" xfId="0" applyFont="1" applyBorder="1" applyAlignment="1">
      <alignment horizontal="left"/>
    </xf>
    <xf numFmtId="0" fontId="7" fillId="0" borderId="5" xfId="0" applyFont="1" applyBorder="1" applyAlignment="1">
      <alignment horizontal="left"/>
    </xf>
    <xf numFmtId="13" fontId="0" fillId="0" borderId="4" xfId="0" applyNumberFormat="1" applyBorder="1"/>
    <xf numFmtId="0" fontId="6" fillId="4" borderId="3" xfId="0" applyFont="1" applyFill="1" applyBorder="1"/>
    <xf numFmtId="0" fontId="34" fillId="5" borderId="4" xfId="0" applyFont="1" applyFill="1" applyBorder="1"/>
    <xf numFmtId="0" fontId="6" fillId="5" borderId="9" xfId="0" applyFont="1" applyFill="1" applyBorder="1" applyAlignment="1">
      <alignment horizontal="left"/>
    </xf>
    <xf numFmtId="0" fontId="6" fillId="0" borderId="4" xfId="0" applyFont="1" applyBorder="1"/>
    <xf numFmtId="0" fontId="6" fillId="4" borderId="4" xfId="0" applyFont="1" applyFill="1" applyBorder="1"/>
    <xf numFmtId="0" fontId="5" fillId="5" borderId="4" xfId="0" quotePrefix="1" applyFont="1" applyFill="1" applyBorder="1" applyAlignment="1">
      <alignment horizontal="left" vertical="center"/>
    </xf>
    <xf numFmtId="0" fontId="5" fillId="5" borderId="15" xfId="0" quotePrefix="1" applyFont="1" applyFill="1" applyBorder="1" applyAlignment="1">
      <alignment horizontal="left" vertical="center"/>
    </xf>
    <xf numFmtId="1" fontId="31" fillId="5" borderId="15" xfId="0" applyNumberFormat="1" applyFont="1" applyFill="1" applyBorder="1" applyAlignment="1">
      <alignment horizontal="left" vertical="center"/>
    </xf>
    <xf numFmtId="0" fontId="13" fillId="5" borderId="4" xfId="0" applyFont="1" applyFill="1" applyBorder="1" applyAlignment="1">
      <alignment horizontal="left"/>
    </xf>
    <xf numFmtId="0" fontId="18" fillId="5" borderId="4" xfId="0" quotePrefix="1" applyFont="1" applyFill="1" applyBorder="1" applyAlignment="1">
      <alignment horizontal="left" vertical="center"/>
    </xf>
    <xf numFmtId="0" fontId="13" fillId="5" borderId="4" xfId="0" quotePrefix="1" applyFont="1" applyFill="1" applyBorder="1" applyAlignment="1">
      <alignment horizontal="left" vertical="center"/>
    </xf>
    <xf numFmtId="0" fontId="16" fillId="5" borderId="15" xfId="0" quotePrefix="1" applyFont="1" applyFill="1" applyBorder="1" applyAlignment="1">
      <alignment horizontal="left"/>
    </xf>
    <xf numFmtId="0" fontId="22" fillId="5" borderId="4" xfId="0" quotePrefix="1" applyFont="1" applyFill="1" applyBorder="1" applyAlignment="1">
      <alignment horizontal="left" vertical="center"/>
    </xf>
    <xf numFmtId="0" fontId="14" fillId="5" borderId="15" xfId="0" applyFont="1" applyFill="1" applyBorder="1" applyAlignment="1">
      <alignment horizontal="left" vertical="center"/>
    </xf>
    <xf numFmtId="0" fontId="14" fillId="5" borderId="4" xfId="0" quotePrefix="1" applyFont="1" applyFill="1" applyBorder="1" applyAlignment="1">
      <alignment horizontal="left" vertical="center"/>
    </xf>
    <xf numFmtId="164" fontId="4" fillId="4" borderId="4" xfId="0" applyNumberFormat="1" applyFont="1" applyFill="1" applyBorder="1"/>
    <xf numFmtId="164" fontId="4" fillId="0" borderId="4" xfId="0" applyNumberFormat="1" applyFont="1" applyBorder="1"/>
    <xf numFmtId="0" fontId="4" fillId="0" borderId="4" xfId="0" applyFont="1" applyBorder="1"/>
    <xf numFmtId="0" fontId="4" fillId="4" borderId="4" xfId="0" applyFont="1" applyFill="1" applyBorder="1"/>
    <xf numFmtId="0" fontId="34" fillId="7" borderId="0" xfId="0" applyFont="1" applyFill="1"/>
    <xf numFmtId="0" fontId="16" fillId="7" borderId="0" xfId="0" applyFont="1" applyFill="1"/>
    <xf numFmtId="0" fontId="13" fillId="7" borderId="0" xfId="0" applyFont="1" applyFill="1"/>
    <xf numFmtId="0" fontId="6" fillId="7" borderId="0" xfId="0" applyFont="1" applyFill="1"/>
    <xf numFmtId="0" fontId="17" fillId="7" borderId="0" xfId="0" applyFont="1" applyFill="1"/>
    <xf numFmtId="0" fontId="15" fillId="7" borderId="0" xfId="0" applyFont="1" applyFill="1"/>
    <xf numFmtId="0" fontId="12" fillId="7" borderId="0" xfId="0" applyFont="1" applyFill="1"/>
    <xf numFmtId="0" fontId="4" fillId="7" borderId="0" xfId="0" applyFont="1" applyFill="1"/>
    <xf numFmtId="0" fontId="0" fillId="7" borderId="0" xfId="0" applyFill="1"/>
    <xf numFmtId="0" fontId="18" fillId="7" borderId="0" xfId="0" applyFont="1" applyFill="1"/>
    <xf numFmtId="0" fontId="12" fillId="7" borderId="0" xfId="0" applyFont="1" applyFill="1" applyAlignment="1">
      <alignment horizontal="left"/>
    </xf>
    <xf numFmtId="0" fontId="31" fillId="5" borderId="4" xfId="0" applyFont="1" applyFill="1" applyBorder="1" applyAlignment="1">
      <alignment horizontal="center" vertical="center"/>
    </xf>
    <xf numFmtId="0" fontId="31" fillId="5" borderId="4" xfId="0" applyFont="1" applyFill="1" applyBorder="1" applyAlignment="1">
      <alignment horizontal="left" vertical="center"/>
    </xf>
    <xf numFmtId="0" fontId="6" fillId="5" borderId="4" xfId="0" applyFont="1" applyFill="1" applyBorder="1" applyAlignment="1">
      <alignment horizontal="center" vertical="center"/>
    </xf>
    <xf numFmtId="0" fontId="19" fillId="5" borderId="4" xfId="0" applyFont="1" applyFill="1" applyBorder="1" applyAlignment="1">
      <alignment horizontal="left" vertical="center"/>
    </xf>
    <xf numFmtId="0" fontId="23" fillId="5" borderId="15" xfId="0" applyFont="1" applyFill="1" applyBorder="1" applyAlignment="1">
      <alignment horizontal="left" vertical="center"/>
    </xf>
    <xf numFmtId="0" fontId="0" fillId="0" borderId="10" xfId="0" applyBorder="1"/>
    <xf numFmtId="0" fontId="6" fillId="5" borderId="4" xfId="0" applyFont="1" applyFill="1" applyBorder="1" applyAlignment="1">
      <alignment horizontal="left" vertical="center"/>
    </xf>
    <xf numFmtId="0" fontId="6" fillId="5" borderId="15" xfId="0" applyFont="1" applyFill="1" applyBorder="1" applyAlignment="1">
      <alignment horizontal="left" vertical="center"/>
    </xf>
    <xf numFmtId="0" fontId="0" fillId="5" borderId="11" xfId="0" applyFill="1" applyBorder="1"/>
    <xf numFmtId="0" fontId="0" fillId="5" borderId="0" xfId="0" applyFill="1" applyAlignment="1">
      <alignment horizontal="center" vertical="center"/>
    </xf>
    <xf numFmtId="0" fontId="29" fillId="5" borderId="0" xfId="0" applyFont="1" applyFill="1" applyAlignment="1">
      <alignment horizontal="center" vertical="center"/>
    </xf>
    <xf numFmtId="0" fontId="36" fillId="5" borderId="0" xfId="0" applyFont="1" applyFill="1" applyAlignment="1">
      <alignment vertical="center"/>
    </xf>
    <xf numFmtId="0" fontId="10" fillId="5" borderId="0" xfId="0" applyFont="1" applyFill="1" applyAlignment="1">
      <alignment horizontal="left" vertical="center"/>
    </xf>
    <xf numFmtId="1" fontId="20" fillId="5" borderId="4" xfId="0" applyNumberFormat="1" applyFont="1" applyFill="1" applyBorder="1" applyAlignment="1">
      <alignment horizontal="center"/>
    </xf>
    <xf numFmtId="0" fontId="31" fillId="5" borderId="4" xfId="0" applyFont="1" applyFill="1" applyBorder="1" applyAlignment="1" applyProtection="1">
      <alignment horizontal="center" vertical="center"/>
      <protection locked="0"/>
    </xf>
    <xf numFmtId="1" fontId="31" fillId="5" borderId="4" xfId="0" applyNumberFormat="1" applyFont="1" applyFill="1" applyBorder="1" applyAlignment="1" applyProtection="1">
      <alignment horizontal="center" vertical="center"/>
      <protection locked="0"/>
    </xf>
    <xf numFmtId="1" fontId="11" fillId="5" borderId="4" xfId="0" applyNumberFormat="1" applyFont="1" applyFill="1" applyBorder="1" applyAlignment="1">
      <alignment horizontal="center"/>
    </xf>
    <xf numFmtId="0" fontId="21" fillId="5" borderId="0" xfId="0" applyFont="1" applyFill="1" applyAlignment="1">
      <alignment horizontal="left" vertical="center"/>
    </xf>
    <xf numFmtId="0" fontId="31" fillId="5" borderId="0" xfId="0" applyFont="1" applyFill="1" applyAlignment="1">
      <alignment horizontal="center" vertical="center"/>
    </xf>
    <xf numFmtId="0" fontId="3" fillId="0" borderId="0" xfId="0" applyFont="1" applyAlignment="1">
      <alignment vertical="center" wrapText="1"/>
    </xf>
    <xf numFmtId="0" fontId="16" fillId="5" borderId="0" xfId="0" applyFont="1" applyFill="1"/>
    <xf numFmtId="0" fontId="16" fillId="5" borderId="4" xfId="0" applyFont="1" applyFill="1" applyBorder="1" applyAlignment="1">
      <alignment horizontal="left"/>
    </xf>
    <xf numFmtId="13" fontId="6" fillId="0" borderId="4" xfId="0" applyNumberFormat="1" applyFont="1" applyBorder="1" applyAlignment="1" applyProtection="1">
      <alignment horizontal="center" vertical="center"/>
      <protection locked="0"/>
    </xf>
    <xf numFmtId="0" fontId="2" fillId="5" borderId="9" xfId="0" applyFont="1" applyFill="1" applyBorder="1"/>
    <xf numFmtId="0" fontId="2" fillId="7" borderId="0" xfId="0" applyFont="1" applyFill="1"/>
    <xf numFmtId="0" fontId="34" fillId="0" borderId="0" xfId="0" applyFont="1" applyAlignment="1">
      <alignment horizontal="left"/>
    </xf>
    <xf numFmtId="0" fontId="0" fillId="0" borderId="0" xfId="0"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033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canada.ca/en/transparency/terms.html" TargetMode="External"/><Relationship Id="rId2" Type="http://schemas.openxmlformats.org/officeDocument/2006/relationships/hyperlink" Target="https://www.canada.ca/en/conservation-institute.html" TargetMode="External"/><Relationship Id="rId1" Type="http://schemas.openxmlformats.org/officeDocument/2006/relationships/image" Target="../media/image1.jpeg"/><Relationship Id="rId4" Type="http://schemas.openxmlformats.org/officeDocument/2006/relationships/hyperlink" Target="https://www.canada.ca/en/conservation-institute/services/conservation-preservation-publications/canadian-conservation-institute-notes/lightweight-reusable-crate.html"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 Id="rId5" Type="http://schemas.openxmlformats.org/officeDocument/2006/relationships/image" Target="../media/image6.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png"/><Relationship Id="rId1" Type="http://schemas.openxmlformats.org/officeDocument/2006/relationships/image" Target="../media/image7.jpeg"/><Relationship Id="rId5" Type="http://schemas.openxmlformats.org/officeDocument/2006/relationships/image" Target="../media/image11.jpeg"/><Relationship Id="rId4"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xdr:row>
      <xdr:rowOff>19050</xdr:rowOff>
    </xdr:from>
    <xdr:to>
      <xdr:col>1</xdr:col>
      <xdr:colOff>3467100</xdr:colOff>
      <xdr:row>13</xdr:row>
      <xdr:rowOff>57420</xdr:rowOff>
    </xdr:to>
    <xdr:pic>
      <xdr:nvPicPr>
        <xdr:cNvPr id="2" name="Picture 1" descr="Government of Canada flag and text saying Canadian Conservation Institute">
          <a:extLst>
            <a:ext uri="{FF2B5EF4-FFF2-40B4-BE49-F238E27FC236}">
              <a16:creationId xmlns:a16="http://schemas.microsoft.com/office/drawing/2014/main" id="{CFE9E763-C2E8-4CE4-B5DA-3D79427A7A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700" y="6527800"/>
          <a:ext cx="3467100" cy="406670"/>
        </a:xfrm>
        <a:prstGeom prst="rect">
          <a:avLst/>
        </a:prstGeom>
      </xdr:spPr>
    </xdr:pic>
    <xdr:clientData/>
  </xdr:twoCellAnchor>
  <xdr:twoCellAnchor>
    <xdr:from>
      <xdr:col>1</xdr:col>
      <xdr:colOff>1947333</xdr:colOff>
      <xdr:row>8</xdr:row>
      <xdr:rowOff>71783</xdr:rowOff>
    </xdr:from>
    <xdr:to>
      <xdr:col>1</xdr:col>
      <xdr:colOff>4196521</xdr:colOff>
      <xdr:row>8</xdr:row>
      <xdr:rowOff>265043</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55C76995-7709-D1D8-FC67-635DB9BC777B}"/>
            </a:ext>
          </a:extLst>
        </xdr:cNvPr>
        <xdr:cNvSpPr/>
      </xdr:nvSpPr>
      <xdr:spPr>
        <a:xfrm>
          <a:off x="2101942" y="5477566"/>
          <a:ext cx="2249188" cy="19326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0033CC"/>
            </a:solidFill>
          </a:endParaRPr>
        </a:p>
      </xdr:txBody>
    </xdr:sp>
    <xdr:clientData/>
  </xdr:twoCellAnchor>
  <xdr:twoCellAnchor>
    <xdr:from>
      <xdr:col>1</xdr:col>
      <xdr:colOff>69273</xdr:colOff>
      <xdr:row>9</xdr:row>
      <xdr:rowOff>329045</xdr:rowOff>
    </xdr:from>
    <xdr:to>
      <xdr:col>1</xdr:col>
      <xdr:colOff>1627909</xdr:colOff>
      <xdr:row>10</xdr:row>
      <xdr:rowOff>0</xdr:rowOff>
    </xdr:to>
    <xdr:sp macro="" textlink="">
      <xdr:nvSpPr>
        <xdr:cNvPr id="8" name="Rectangle 7">
          <a:hlinkClick xmlns:r="http://schemas.openxmlformats.org/officeDocument/2006/relationships" r:id="rId3"/>
          <a:extLst>
            <a:ext uri="{FF2B5EF4-FFF2-40B4-BE49-F238E27FC236}">
              <a16:creationId xmlns:a16="http://schemas.microsoft.com/office/drawing/2014/main" id="{6151B197-4F1C-AFEB-4255-559FE2BA998E}"/>
            </a:ext>
          </a:extLst>
        </xdr:cNvPr>
        <xdr:cNvSpPr/>
      </xdr:nvSpPr>
      <xdr:spPr>
        <a:xfrm>
          <a:off x="69273" y="5143500"/>
          <a:ext cx="1558636"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xdr:col>
      <xdr:colOff>3733799</xdr:colOff>
      <xdr:row>2</xdr:row>
      <xdr:rowOff>560355</xdr:rowOff>
    </xdr:from>
    <xdr:ext cx="5229225" cy="269369"/>
    <xdr:sp macro="" textlink="">
      <xdr:nvSpPr>
        <xdr:cNvPr id="4" name="TextBox 3">
          <a:hlinkClick xmlns:r="http://schemas.openxmlformats.org/officeDocument/2006/relationships" r:id="rId4"/>
          <a:extLst>
            <a:ext uri="{FF2B5EF4-FFF2-40B4-BE49-F238E27FC236}">
              <a16:creationId xmlns:a16="http://schemas.microsoft.com/office/drawing/2014/main" id="{B2D3DCA4-754E-3413-79E1-E6645027C989}"/>
            </a:ext>
          </a:extLst>
        </xdr:cNvPr>
        <xdr:cNvSpPr txBox="1"/>
      </xdr:nvSpPr>
      <xdr:spPr>
        <a:xfrm>
          <a:off x="3876674" y="1169955"/>
          <a:ext cx="5229225"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chorCtr="0">
          <a:spAutoFit/>
        </a:bodyPr>
        <a:lstStyle/>
        <a:p>
          <a:pPr algn="l"/>
          <a:r>
            <a:rPr lang="en-CA" sz="1200" i="1" u="sng">
              <a:solidFill>
                <a:srgbClr val="0033CC"/>
              </a:solidFill>
              <a:latin typeface="Arial" panose="020B0604020202020204" pitchFamily="34" charset="0"/>
              <a:cs typeface="Arial" panose="020B0604020202020204" pitchFamily="34" charset="0"/>
            </a:rPr>
            <a:t>The CCI Channel Crate: Making a Lightweight, Reusable Crating System.</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181826</xdr:colOff>
      <xdr:row>2</xdr:row>
      <xdr:rowOff>134421</xdr:rowOff>
    </xdr:from>
    <xdr:to>
      <xdr:col>4</xdr:col>
      <xdr:colOff>1774379</xdr:colOff>
      <xdr:row>31</xdr:row>
      <xdr:rowOff>59023</xdr:rowOff>
    </xdr:to>
    <xdr:pic>
      <xdr:nvPicPr>
        <xdr:cNvPr id="14" name="Picture 13">
          <a:extLst>
            <a:ext uri="{FF2B5EF4-FFF2-40B4-BE49-F238E27FC236}">
              <a16:creationId xmlns:a16="http://schemas.microsoft.com/office/drawing/2014/main" id="{16D6B278-B77F-7DDA-B09F-21DBD4335B40}"/>
            </a:ext>
          </a:extLst>
        </xdr:cNvPr>
        <xdr:cNvPicPr>
          <a:picLocks noChangeAspect="1"/>
        </xdr:cNvPicPr>
      </xdr:nvPicPr>
      <xdr:blipFill rotWithShape="1">
        <a:blip xmlns:r="http://schemas.openxmlformats.org/officeDocument/2006/relationships" r:embed="rId1" cstate="print">
          <a:alphaModFix/>
          <a:extLst>
            <a:ext uri="{28A0092B-C50C-407E-A947-70E740481C1C}">
              <a14:useLocalDpi xmlns:a14="http://schemas.microsoft.com/office/drawing/2010/main" val="0"/>
            </a:ext>
          </a:extLst>
        </a:blip>
        <a:srcRect l="1707" t="3362" r="5707" b="2030"/>
        <a:stretch/>
      </xdr:blipFill>
      <xdr:spPr>
        <a:xfrm>
          <a:off x="348514" y="705921"/>
          <a:ext cx="7700459" cy="5449102"/>
        </a:xfrm>
        <a:prstGeom prst="rect">
          <a:avLst/>
        </a:prstGeom>
        <a:ln>
          <a:noFill/>
        </a:ln>
      </xdr:spPr>
    </xdr:pic>
    <xdr:clientData/>
  </xdr:twoCellAnchor>
  <xdr:twoCellAnchor editAs="absolute">
    <xdr:from>
      <xdr:col>1</xdr:col>
      <xdr:colOff>0</xdr:colOff>
      <xdr:row>1</xdr:row>
      <xdr:rowOff>0</xdr:rowOff>
    </xdr:from>
    <xdr:to>
      <xdr:col>5</xdr:col>
      <xdr:colOff>11546</xdr:colOff>
      <xdr:row>61</xdr:row>
      <xdr:rowOff>179293</xdr:rowOff>
    </xdr:to>
    <xdr:sp macro="" textlink="">
      <xdr:nvSpPr>
        <xdr:cNvPr id="7" name="Rectangle 6">
          <a:extLst>
            <a:ext uri="{FF2B5EF4-FFF2-40B4-BE49-F238E27FC236}">
              <a16:creationId xmlns:a16="http://schemas.microsoft.com/office/drawing/2014/main" id="{A2676BAE-8350-5DE6-B3EA-767C4F5C050F}"/>
            </a:ext>
          </a:extLst>
        </xdr:cNvPr>
        <xdr:cNvSpPr/>
      </xdr:nvSpPr>
      <xdr:spPr>
        <a:xfrm>
          <a:off x="179294" y="186765"/>
          <a:ext cx="8557899" cy="12020175"/>
        </a:xfrm>
        <a:prstGeom prst="rect">
          <a:avLst/>
        </a:prstGeom>
        <a:no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absolute">
    <xdr:from>
      <xdr:col>7</xdr:col>
      <xdr:colOff>0</xdr:colOff>
      <xdr:row>1</xdr:row>
      <xdr:rowOff>0</xdr:rowOff>
    </xdr:from>
    <xdr:to>
      <xdr:col>11</xdr:col>
      <xdr:colOff>0</xdr:colOff>
      <xdr:row>62</xdr:row>
      <xdr:rowOff>1</xdr:rowOff>
    </xdr:to>
    <xdr:sp macro="" textlink="">
      <xdr:nvSpPr>
        <xdr:cNvPr id="8" name="Rectangle 7">
          <a:extLst>
            <a:ext uri="{FF2B5EF4-FFF2-40B4-BE49-F238E27FC236}">
              <a16:creationId xmlns:a16="http://schemas.microsoft.com/office/drawing/2014/main" id="{48E7EFD4-AD4B-42E3-BCFC-6E102903277B}"/>
            </a:ext>
          </a:extLst>
        </xdr:cNvPr>
        <xdr:cNvSpPr/>
      </xdr:nvSpPr>
      <xdr:spPr>
        <a:xfrm>
          <a:off x="9084235" y="186765"/>
          <a:ext cx="8546353" cy="12035118"/>
        </a:xfrm>
        <a:prstGeom prst="rect">
          <a:avLst/>
        </a:prstGeom>
        <a:no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absolute">
    <xdr:from>
      <xdr:col>13</xdr:col>
      <xdr:colOff>0</xdr:colOff>
      <xdr:row>1</xdr:row>
      <xdr:rowOff>0</xdr:rowOff>
    </xdr:from>
    <xdr:to>
      <xdr:col>17</xdr:col>
      <xdr:colOff>0</xdr:colOff>
      <xdr:row>62</xdr:row>
      <xdr:rowOff>1</xdr:rowOff>
    </xdr:to>
    <xdr:sp macro="" textlink="">
      <xdr:nvSpPr>
        <xdr:cNvPr id="9" name="Rectangle 8">
          <a:extLst>
            <a:ext uri="{FF2B5EF4-FFF2-40B4-BE49-F238E27FC236}">
              <a16:creationId xmlns:a16="http://schemas.microsoft.com/office/drawing/2014/main" id="{5D8316FB-B638-48DC-8716-2375D0A5D027}"/>
            </a:ext>
          </a:extLst>
        </xdr:cNvPr>
        <xdr:cNvSpPr/>
      </xdr:nvSpPr>
      <xdr:spPr>
        <a:xfrm>
          <a:off x="17989176" y="186765"/>
          <a:ext cx="8546353" cy="12035118"/>
        </a:xfrm>
        <a:prstGeom prst="rect">
          <a:avLst/>
        </a:prstGeom>
        <a:no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absolute">
    <xdr:from>
      <xdr:col>19</xdr:col>
      <xdr:colOff>0</xdr:colOff>
      <xdr:row>1</xdr:row>
      <xdr:rowOff>0</xdr:rowOff>
    </xdr:from>
    <xdr:to>
      <xdr:col>23</xdr:col>
      <xdr:colOff>0</xdr:colOff>
      <xdr:row>62</xdr:row>
      <xdr:rowOff>0</xdr:rowOff>
    </xdr:to>
    <xdr:sp macro="" textlink="">
      <xdr:nvSpPr>
        <xdr:cNvPr id="10" name="Rectangle 9">
          <a:extLst>
            <a:ext uri="{FF2B5EF4-FFF2-40B4-BE49-F238E27FC236}">
              <a16:creationId xmlns:a16="http://schemas.microsoft.com/office/drawing/2014/main" id="{183A8036-8337-4D59-8629-4E55D44F6D2B}"/>
            </a:ext>
          </a:extLst>
        </xdr:cNvPr>
        <xdr:cNvSpPr/>
      </xdr:nvSpPr>
      <xdr:spPr>
        <a:xfrm>
          <a:off x="26894118" y="186765"/>
          <a:ext cx="8546353" cy="12035117"/>
        </a:xfrm>
        <a:prstGeom prst="rect">
          <a:avLst/>
        </a:prstGeom>
        <a:no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absolute">
    <xdr:from>
      <xdr:col>25</xdr:col>
      <xdr:colOff>0</xdr:colOff>
      <xdr:row>1</xdr:row>
      <xdr:rowOff>0</xdr:rowOff>
    </xdr:from>
    <xdr:to>
      <xdr:col>29</xdr:col>
      <xdr:colOff>0</xdr:colOff>
      <xdr:row>62</xdr:row>
      <xdr:rowOff>1</xdr:rowOff>
    </xdr:to>
    <xdr:sp macro="" textlink="">
      <xdr:nvSpPr>
        <xdr:cNvPr id="11" name="Rectangle 10">
          <a:extLst>
            <a:ext uri="{FF2B5EF4-FFF2-40B4-BE49-F238E27FC236}">
              <a16:creationId xmlns:a16="http://schemas.microsoft.com/office/drawing/2014/main" id="{AEE56685-9BC4-4E6C-8C8B-6F0EB5A1C57C}"/>
            </a:ext>
          </a:extLst>
        </xdr:cNvPr>
        <xdr:cNvSpPr/>
      </xdr:nvSpPr>
      <xdr:spPr>
        <a:xfrm>
          <a:off x="35799059" y="186765"/>
          <a:ext cx="8546353" cy="12035118"/>
        </a:xfrm>
        <a:prstGeom prst="rect">
          <a:avLst/>
        </a:prstGeom>
        <a:no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13</xdr:col>
      <xdr:colOff>161637</xdr:colOff>
      <xdr:row>3</xdr:row>
      <xdr:rowOff>11545</xdr:rowOff>
    </xdr:from>
    <xdr:to>
      <xdr:col>16</xdr:col>
      <xdr:colOff>1526310</xdr:colOff>
      <xdr:row>31</xdr:row>
      <xdr:rowOff>11434</xdr:rowOff>
    </xdr:to>
    <xdr:pic>
      <xdr:nvPicPr>
        <xdr:cNvPr id="12" name="Picture 11">
          <a:extLst>
            <a:ext uri="{FF2B5EF4-FFF2-40B4-BE49-F238E27FC236}">
              <a16:creationId xmlns:a16="http://schemas.microsoft.com/office/drawing/2014/main" id="{D17A78B1-949E-F42E-92AC-CA592DB28F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114819" y="773545"/>
          <a:ext cx="7772400" cy="5495525"/>
        </a:xfrm>
        <a:prstGeom prst="rect">
          <a:avLst/>
        </a:prstGeom>
      </xdr:spPr>
    </xdr:pic>
    <xdr:clientData/>
  </xdr:twoCellAnchor>
  <xdr:twoCellAnchor editAs="oneCell">
    <xdr:from>
      <xdr:col>25</xdr:col>
      <xdr:colOff>357909</xdr:colOff>
      <xdr:row>2</xdr:row>
      <xdr:rowOff>184727</xdr:rowOff>
    </xdr:from>
    <xdr:to>
      <xdr:col>28</xdr:col>
      <xdr:colOff>1722582</xdr:colOff>
      <xdr:row>30</xdr:row>
      <xdr:rowOff>184615</xdr:rowOff>
    </xdr:to>
    <xdr:pic>
      <xdr:nvPicPr>
        <xdr:cNvPr id="15" name="Picture 14">
          <a:extLst>
            <a:ext uri="{FF2B5EF4-FFF2-40B4-BE49-F238E27FC236}">
              <a16:creationId xmlns:a16="http://schemas.microsoft.com/office/drawing/2014/main" id="{877FFC46-9DAA-53F3-BFDF-9AB736668C6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091091" y="750454"/>
          <a:ext cx="7772400" cy="5495525"/>
        </a:xfrm>
        <a:prstGeom prst="rect">
          <a:avLst/>
        </a:prstGeom>
      </xdr:spPr>
    </xdr:pic>
    <xdr:clientData/>
  </xdr:twoCellAnchor>
  <xdr:twoCellAnchor editAs="oneCell">
    <xdr:from>
      <xdr:col>7</xdr:col>
      <xdr:colOff>612589</xdr:colOff>
      <xdr:row>3</xdr:row>
      <xdr:rowOff>112058</xdr:rowOff>
    </xdr:from>
    <xdr:to>
      <xdr:col>10</xdr:col>
      <xdr:colOff>1975224</xdr:colOff>
      <xdr:row>31</xdr:row>
      <xdr:rowOff>168995</xdr:rowOff>
    </xdr:to>
    <xdr:pic>
      <xdr:nvPicPr>
        <xdr:cNvPr id="17" name="Picture 16">
          <a:extLst>
            <a:ext uri="{FF2B5EF4-FFF2-40B4-BE49-F238E27FC236}">
              <a16:creationId xmlns:a16="http://schemas.microsoft.com/office/drawing/2014/main" id="{E8257878-260D-4E0A-9B0B-AAC63E31701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696824" y="874058"/>
          <a:ext cx="7772400" cy="5495525"/>
        </a:xfrm>
        <a:prstGeom prst="rect">
          <a:avLst/>
        </a:prstGeom>
      </xdr:spPr>
    </xdr:pic>
    <xdr:clientData/>
  </xdr:twoCellAnchor>
  <xdr:twoCellAnchor editAs="oneCell">
    <xdr:from>
      <xdr:col>19</xdr:col>
      <xdr:colOff>410882</xdr:colOff>
      <xdr:row>2</xdr:row>
      <xdr:rowOff>67235</xdr:rowOff>
    </xdr:from>
    <xdr:to>
      <xdr:col>22</xdr:col>
      <xdr:colOff>1773518</xdr:colOff>
      <xdr:row>30</xdr:row>
      <xdr:rowOff>124172</xdr:rowOff>
    </xdr:to>
    <xdr:pic>
      <xdr:nvPicPr>
        <xdr:cNvPr id="19" name="Picture 18">
          <a:extLst>
            <a:ext uri="{FF2B5EF4-FFF2-40B4-BE49-F238E27FC236}">
              <a16:creationId xmlns:a16="http://schemas.microsoft.com/office/drawing/2014/main" id="{28C9571D-70C3-E278-8C13-3649AE8C626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7305000" y="635000"/>
          <a:ext cx="7772400" cy="5495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19</xdr:col>
      <xdr:colOff>264969</xdr:colOff>
      <xdr:row>2</xdr:row>
      <xdr:rowOff>104933</xdr:rowOff>
    </xdr:from>
    <xdr:ext cx="7669418" cy="5760720"/>
    <xdr:pic>
      <xdr:nvPicPr>
        <xdr:cNvPr id="13" name="Picture 12">
          <a:extLst>
            <a:ext uri="{FF2B5EF4-FFF2-40B4-BE49-F238E27FC236}">
              <a16:creationId xmlns:a16="http://schemas.microsoft.com/office/drawing/2014/main" id="{11361C07-11BF-447E-8412-9B51DB13270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839" t="2732" r="3137" b="-510"/>
        <a:stretch/>
      </xdr:blipFill>
      <xdr:spPr>
        <a:xfrm>
          <a:off x="25925319" y="676433"/>
          <a:ext cx="7669418" cy="5760720"/>
        </a:xfrm>
        <a:prstGeom prst="rect">
          <a:avLst/>
        </a:prstGeom>
        <a:ln>
          <a:noFill/>
        </a:ln>
      </xdr:spPr>
    </xdr:pic>
    <xdr:clientData/>
  </xdr:oneCellAnchor>
  <xdr:twoCellAnchor editAs="oneCell">
    <xdr:from>
      <xdr:col>1</xdr:col>
      <xdr:colOff>648565</xdr:colOff>
      <xdr:row>2</xdr:row>
      <xdr:rowOff>105352</xdr:rowOff>
    </xdr:from>
    <xdr:to>
      <xdr:col>4</xdr:col>
      <xdr:colOff>1521804</xdr:colOff>
      <xdr:row>32</xdr:row>
      <xdr:rowOff>11545</xdr:rowOff>
    </xdr:to>
    <xdr:pic>
      <xdr:nvPicPr>
        <xdr:cNvPr id="15" name="Picture 14">
          <a:extLst>
            <a:ext uri="{FF2B5EF4-FFF2-40B4-BE49-F238E27FC236}">
              <a16:creationId xmlns:a16="http://schemas.microsoft.com/office/drawing/2014/main" id="{0E895F78-15F5-4907-A371-CA6EA7CAF61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584" t="3560" r="7625" b="2375"/>
        <a:stretch/>
      </xdr:blipFill>
      <xdr:spPr>
        <a:xfrm>
          <a:off x="821747" y="671079"/>
          <a:ext cx="7280966" cy="5794375"/>
        </a:xfrm>
        <a:prstGeom prst="rect">
          <a:avLst/>
        </a:prstGeom>
        <a:ln>
          <a:noFill/>
        </a:ln>
      </xdr:spPr>
    </xdr:pic>
    <xdr:clientData/>
  </xdr:twoCellAnchor>
  <xdr:twoCellAnchor editAs="absolute">
    <xdr:from>
      <xdr:col>13</xdr:col>
      <xdr:colOff>1</xdr:colOff>
      <xdr:row>1</xdr:row>
      <xdr:rowOff>0</xdr:rowOff>
    </xdr:from>
    <xdr:to>
      <xdr:col>17</xdr:col>
      <xdr:colOff>1</xdr:colOff>
      <xdr:row>62</xdr:row>
      <xdr:rowOff>0</xdr:rowOff>
    </xdr:to>
    <xdr:sp macro="" textlink="">
      <xdr:nvSpPr>
        <xdr:cNvPr id="3" name="Rectangle 2">
          <a:extLst>
            <a:ext uri="{FF2B5EF4-FFF2-40B4-BE49-F238E27FC236}">
              <a16:creationId xmlns:a16="http://schemas.microsoft.com/office/drawing/2014/main" id="{08D89E11-2B09-427B-876E-A6876B1E894C}"/>
            </a:ext>
          </a:extLst>
        </xdr:cNvPr>
        <xdr:cNvSpPr/>
      </xdr:nvSpPr>
      <xdr:spPr>
        <a:xfrm>
          <a:off x="18008601" y="184150"/>
          <a:ext cx="8559800" cy="12192000"/>
        </a:xfrm>
        <a:prstGeom prst="rect">
          <a:avLst/>
        </a:prstGeom>
        <a:no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absolute">
    <xdr:from>
      <xdr:col>1</xdr:col>
      <xdr:colOff>0</xdr:colOff>
      <xdr:row>1</xdr:row>
      <xdr:rowOff>1586</xdr:rowOff>
    </xdr:from>
    <xdr:to>
      <xdr:col>5</xdr:col>
      <xdr:colOff>0</xdr:colOff>
      <xdr:row>62</xdr:row>
      <xdr:rowOff>0</xdr:rowOff>
    </xdr:to>
    <xdr:sp macro="" textlink="">
      <xdr:nvSpPr>
        <xdr:cNvPr id="4" name="Rectangle 3">
          <a:extLst>
            <a:ext uri="{FF2B5EF4-FFF2-40B4-BE49-F238E27FC236}">
              <a16:creationId xmlns:a16="http://schemas.microsoft.com/office/drawing/2014/main" id="{714B61A5-6D54-4B10-A43E-73238E4AD98C}"/>
            </a:ext>
          </a:extLst>
        </xdr:cNvPr>
        <xdr:cNvSpPr/>
      </xdr:nvSpPr>
      <xdr:spPr>
        <a:xfrm>
          <a:off x="177800" y="184149"/>
          <a:ext cx="8559800" cy="12192001"/>
        </a:xfrm>
        <a:prstGeom prst="rect">
          <a:avLst/>
        </a:prstGeom>
        <a:no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absolute">
    <xdr:from>
      <xdr:col>7</xdr:col>
      <xdr:colOff>0</xdr:colOff>
      <xdr:row>1</xdr:row>
      <xdr:rowOff>0</xdr:rowOff>
    </xdr:from>
    <xdr:to>
      <xdr:col>11</xdr:col>
      <xdr:colOff>0</xdr:colOff>
      <xdr:row>62</xdr:row>
      <xdr:rowOff>0</xdr:rowOff>
    </xdr:to>
    <xdr:sp macro="" textlink="">
      <xdr:nvSpPr>
        <xdr:cNvPr id="5" name="Rectangle 4">
          <a:extLst>
            <a:ext uri="{FF2B5EF4-FFF2-40B4-BE49-F238E27FC236}">
              <a16:creationId xmlns:a16="http://schemas.microsoft.com/office/drawing/2014/main" id="{D4E44D35-E35B-4A64-A8AA-91FCC803CDE3}"/>
            </a:ext>
          </a:extLst>
        </xdr:cNvPr>
        <xdr:cNvSpPr/>
      </xdr:nvSpPr>
      <xdr:spPr>
        <a:xfrm>
          <a:off x="9093200" y="184150"/>
          <a:ext cx="8559800" cy="12192000"/>
        </a:xfrm>
        <a:prstGeom prst="rect">
          <a:avLst/>
        </a:prstGeom>
        <a:no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absolute">
    <xdr:from>
      <xdr:col>19</xdr:col>
      <xdr:colOff>4617</xdr:colOff>
      <xdr:row>1</xdr:row>
      <xdr:rowOff>1586</xdr:rowOff>
    </xdr:from>
    <xdr:to>
      <xdr:col>23</xdr:col>
      <xdr:colOff>0</xdr:colOff>
      <xdr:row>62</xdr:row>
      <xdr:rowOff>5772</xdr:rowOff>
    </xdr:to>
    <xdr:sp macro="" textlink="">
      <xdr:nvSpPr>
        <xdr:cNvPr id="6" name="Rectangle 5">
          <a:extLst>
            <a:ext uri="{FF2B5EF4-FFF2-40B4-BE49-F238E27FC236}">
              <a16:creationId xmlns:a16="http://schemas.microsoft.com/office/drawing/2014/main" id="{FDCAFCC3-BA13-4460-A445-04C6DD86C6F2}"/>
            </a:ext>
          </a:extLst>
        </xdr:cNvPr>
        <xdr:cNvSpPr/>
      </xdr:nvSpPr>
      <xdr:spPr>
        <a:xfrm>
          <a:off x="26923999" y="184149"/>
          <a:ext cx="8559801" cy="12197773"/>
        </a:xfrm>
        <a:prstGeom prst="rect">
          <a:avLst/>
        </a:prstGeom>
        <a:no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absolute">
    <xdr:from>
      <xdr:col>25</xdr:col>
      <xdr:colOff>0</xdr:colOff>
      <xdr:row>1</xdr:row>
      <xdr:rowOff>1586</xdr:rowOff>
    </xdr:from>
    <xdr:to>
      <xdr:col>29</xdr:col>
      <xdr:colOff>0</xdr:colOff>
      <xdr:row>62</xdr:row>
      <xdr:rowOff>0</xdr:rowOff>
    </xdr:to>
    <xdr:sp macro="" textlink="">
      <xdr:nvSpPr>
        <xdr:cNvPr id="7" name="Rectangle 6">
          <a:extLst>
            <a:ext uri="{FF2B5EF4-FFF2-40B4-BE49-F238E27FC236}">
              <a16:creationId xmlns:a16="http://schemas.microsoft.com/office/drawing/2014/main" id="{764847BE-8935-4A16-BDA2-6C31292D1210}"/>
            </a:ext>
          </a:extLst>
        </xdr:cNvPr>
        <xdr:cNvSpPr/>
      </xdr:nvSpPr>
      <xdr:spPr>
        <a:xfrm>
          <a:off x="35839400" y="184149"/>
          <a:ext cx="8559800" cy="12192001"/>
        </a:xfrm>
        <a:prstGeom prst="rect">
          <a:avLst/>
        </a:prstGeom>
        <a:no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13</xdr:col>
      <xdr:colOff>425824</xdr:colOff>
      <xdr:row>3</xdr:row>
      <xdr:rowOff>29882</xdr:rowOff>
    </xdr:from>
    <xdr:to>
      <xdr:col>16</xdr:col>
      <xdr:colOff>2031697</xdr:colOff>
      <xdr:row>32</xdr:row>
      <xdr:rowOff>64360</xdr:rowOff>
    </xdr:to>
    <xdr:pic>
      <xdr:nvPicPr>
        <xdr:cNvPr id="8" name="Picture 7">
          <a:extLst>
            <a:ext uri="{FF2B5EF4-FFF2-40B4-BE49-F238E27FC236}">
              <a16:creationId xmlns:a16="http://schemas.microsoft.com/office/drawing/2014/main" id="{5AC437F1-03AA-ADE7-D357-D1FBCCB057C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379006" y="791882"/>
          <a:ext cx="8013600" cy="5726387"/>
        </a:xfrm>
        <a:prstGeom prst="rect">
          <a:avLst/>
        </a:prstGeom>
      </xdr:spPr>
    </xdr:pic>
    <xdr:clientData/>
  </xdr:twoCellAnchor>
  <xdr:twoCellAnchor editAs="oneCell">
    <xdr:from>
      <xdr:col>7</xdr:col>
      <xdr:colOff>433295</xdr:colOff>
      <xdr:row>3</xdr:row>
      <xdr:rowOff>74706</xdr:rowOff>
    </xdr:from>
    <xdr:to>
      <xdr:col>11</xdr:col>
      <xdr:colOff>818</xdr:colOff>
      <xdr:row>32</xdr:row>
      <xdr:rowOff>109184</xdr:rowOff>
    </xdr:to>
    <xdr:pic>
      <xdr:nvPicPr>
        <xdr:cNvPr id="10" name="Picture 9">
          <a:extLst>
            <a:ext uri="{FF2B5EF4-FFF2-40B4-BE49-F238E27FC236}">
              <a16:creationId xmlns:a16="http://schemas.microsoft.com/office/drawing/2014/main" id="{CC60C8B4-C979-B603-A222-DACD06A162E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96477" y="836706"/>
          <a:ext cx="8013600" cy="5726387"/>
        </a:xfrm>
        <a:prstGeom prst="rect">
          <a:avLst/>
        </a:prstGeom>
      </xdr:spPr>
    </xdr:pic>
    <xdr:clientData/>
  </xdr:twoCellAnchor>
  <xdr:twoCellAnchor editAs="oneCell">
    <xdr:from>
      <xdr:col>25</xdr:col>
      <xdr:colOff>390070</xdr:colOff>
      <xdr:row>3</xdr:row>
      <xdr:rowOff>68035</xdr:rowOff>
    </xdr:from>
    <xdr:to>
      <xdr:col>28</xdr:col>
      <xdr:colOff>1981098</xdr:colOff>
      <xdr:row>32</xdr:row>
      <xdr:rowOff>34329</xdr:rowOff>
    </xdr:to>
    <xdr:pic>
      <xdr:nvPicPr>
        <xdr:cNvPr id="9" name="Picture 8">
          <a:extLst>
            <a:ext uri="{FF2B5EF4-FFF2-40B4-BE49-F238E27FC236}">
              <a16:creationId xmlns:a16="http://schemas.microsoft.com/office/drawing/2014/main" id="{5435D267-E6EE-2969-3CAE-B5BC9200E62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6276641" y="830035"/>
          <a:ext cx="8013600" cy="57538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CH-MarconP\Desktop\20-1%20TOOL%20UPDATE\CCI_Tool_20_1_ICC_FR_Final_MD_CalcUpdate_PM.xlsx" TargetMode="External"/><Relationship Id="rId1" Type="http://schemas.openxmlformats.org/officeDocument/2006/relationships/externalLinkPath" Target="CCI_Tool_20_1_ICC_FR_Final_MD_CalcUpdate_P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Unités SI"/>
      <sheetName val="Unités impériales"/>
      <sheetName val="Données"/>
    </sheetNames>
    <sheetDataSet>
      <sheetData sheetId="0"/>
      <sheetData sheetId="1"/>
      <sheetData sheetId="2"/>
      <sheetData sheetId="3">
        <row r="7">
          <cell r="E7">
            <v>0.71875</v>
          </cell>
        </row>
        <row r="8">
          <cell r="E8">
            <v>0.625</v>
          </cell>
        </row>
        <row r="12">
          <cell r="H12">
            <v>0.06</v>
          </cell>
          <cell r="J12">
            <v>4.2938501892000004E-3</v>
          </cell>
        </row>
        <row r="13">
          <cell r="H13">
            <v>0.17</v>
          </cell>
          <cell r="J13">
            <v>4.8707674966720009E-2</v>
          </cell>
        </row>
        <row r="14">
          <cell r="H14">
            <v>0.17</v>
          </cell>
          <cell r="J14">
            <v>1.0151102242160001E-2</v>
          </cell>
        </row>
        <row r="15">
          <cell r="H15">
            <v>0.14000000000000001</v>
          </cell>
          <cell r="J15">
            <v>9.2042532260799993E-3</v>
          </cell>
        </row>
        <row r="16">
          <cell r="J16">
            <v>7.1564169820000009E-3</v>
          </cell>
        </row>
        <row r="17">
          <cell r="H17">
            <v>0.34</v>
          </cell>
          <cell r="J17">
            <v>5.2847386943999999E-3</v>
          </cell>
        </row>
        <row r="18">
          <cell r="H18">
            <v>0.12</v>
          </cell>
          <cell r="J18">
            <v>2.6203496026400001E-3</v>
          </cell>
        </row>
        <row r="19">
          <cell r="H19">
            <v>0.2</v>
          </cell>
          <cell r="J19">
            <v>1.8364466963040001E-2</v>
          </cell>
        </row>
        <row r="20">
          <cell r="H20">
            <v>1.1000000000000001</v>
          </cell>
          <cell r="J20">
            <v>4.8443438032000005E-3</v>
          </cell>
        </row>
        <row r="28">
          <cell r="J28">
            <v>28</v>
          </cell>
        </row>
        <row r="29">
          <cell r="J29">
            <v>4</v>
          </cell>
        </row>
        <row r="30">
          <cell r="J30">
            <v>0.5</v>
          </cell>
        </row>
        <row r="31">
          <cell r="J31">
            <v>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C6972-AB9E-4C15-AD2E-C3EF9C66001A}">
  <sheetPr>
    <pageSetUpPr fitToPage="1"/>
  </sheetPr>
  <dimension ref="A1:D23"/>
  <sheetViews>
    <sheetView showGridLines="0" showRowColHeaders="0" tabSelected="1" zoomScale="130" zoomScaleNormal="130" zoomScaleSheetLayoutView="108" workbookViewId="0">
      <selection activeCell="B3" sqref="B3"/>
    </sheetView>
  </sheetViews>
  <sheetFormatPr defaultColWidth="0" defaultRowHeight="14.5" zeroHeight="1" x14ac:dyDescent="0.35"/>
  <cols>
    <col min="1" max="1" width="2.1796875" customWidth="1"/>
    <col min="2" max="2" width="133.81640625" customWidth="1"/>
    <col min="3" max="4" width="8.7265625" customWidth="1"/>
    <col min="5" max="16384" width="8.7265625" hidden="1"/>
  </cols>
  <sheetData>
    <row r="1" spans="2:2" ht="29.25" customHeight="1" x14ac:dyDescent="0.35">
      <c r="B1" s="70" t="s">
        <v>124</v>
      </c>
    </row>
    <row r="2" spans="2:2" ht="18.75" customHeight="1" x14ac:dyDescent="0.35">
      <c r="B2" s="71" t="s">
        <v>4</v>
      </c>
    </row>
    <row r="3" spans="2:2" ht="47.5" customHeight="1" x14ac:dyDescent="0.35">
      <c r="B3" s="154" t="s">
        <v>208</v>
      </c>
    </row>
    <row r="4" spans="2:2" ht="76.5" customHeight="1" x14ac:dyDescent="0.35">
      <c r="B4" s="154" t="s">
        <v>237</v>
      </c>
    </row>
    <row r="5" spans="2:2" ht="21.75" customHeight="1" x14ac:dyDescent="0.35">
      <c r="B5" s="15" t="s">
        <v>93</v>
      </c>
    </row>
    <row r="6" spans="2:2" ht="120.65" customHeight="1" x14ac:dyDescent="0.35">
      <c r="B6" s="179" t="s">
        <v>211</v>
      </c>
    </row>
    <row r="7" spans="2:2" ht="18.75" customHeight="1" x14ac:dyDescent="0.35">
      <c r="B7" s="15" t="s">
        <v>95</v>
      </c>
    </row>
    <row r="8" spans="2:2" ht="93.65" customHeight="1" x14ac:dyDescent="0.35">
      <c r="B8" s="331" t="s">
        <v>236</v>
      </c>
    </row>
    <row r="9" spans="2:2" ht="30" customHeight="1" x14ac:dyDescent="0.35">
      <c r="B9" s="156" t="s">
        <v>125</v>
      </c>
    </row>
    <row r="10" spans="2:2" ht="45.65" customHeight="1" x14ac:dyDescent="0.35">
      <c r="B10" s="157" t="s">
        <v>212</v>
      </c>
    </row>
    <row r="11" spans="2:2" ht="18.75" customHeight="1" x14ac:dyDescent="0.35">
      <c r="B11" s="72"/>
    </row>
    <row r="12" spans="2:2" ht="14.5" customHeight="1" x14ac:dyDescent="0.35"/>
    <row r="13" spans="2:2" x14ac:dyDescent="0.35"/>
    <row r="14" spans="2:2" x14ac:dyDescent="0.35"/>
    <row r="23" spans="2:2" hidden="1" x14ac:dyDescent="0.35">
      <c r="B23" s="155"/>
    </row>
  </sheetData>
  <sheetProtection algorithmName="SHA-512" hashValue="plNEhuy7Wdd/dWC0H/bSp1CUe3wWG2pfwbziielfpzzWBtcXS2XVGz4EEqah1eqRaF3HnIiK/k14ihBXfaoJtg==" saltValue="+rdagzeL4/Psov0I2aML2w==" spinCount="100000" sheet="1" objects="1"/>
  <printOptions horizontalCentered="1"/>
  <pageMargins left="0.23622047244094491" right="0.23622047244094491" top="0.74803149606299213" bottom="0.74803149606299213" header="0.31496062992125984" footer="0.31496062992125984"/>
  <pageSetup scale="71" pageOrder="overThenDown"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2432C-F478-423E-91F5-65AB57379837}">
  <sheetPr>
    <pageSetUpPr fitToPage="1"/>
  </sheetPr>
  <dimension ref="A1:BD83"/>
  <sheetViews>
    <sheetView showGridLines="0" showRowColHeaders="0" showRuler="0" zoomScale="80" zoomScaleNormal="80" zoomScaleSheetLayoutView="55" zoomScalePageLayoutView="10" workbookViewId="0">
      <selection activeCell="C47" sqref="C47"/>
    </sheetView>
  </sheetViews>
  <sheetFormatPr defaultColWidth="0" defaultRowHeight="14.5" zeroHeight="1" x14ac:dyDescent="0.35"/>
  <cols>
    <col min="1" max="1" width="2.54296875" customWidth="1"/>
    <col min="2" max="5" width="30.54296875" customWidth="1"/>
    <col min="6" max="7" width="2.54296875" style="80" customWidth="1"/>
    <col min="8" max="11" width="30.54296875" customWidth="1"/>
    <col min="12" max="13" width="2.54296875" customWidth="1"/>
    <col min="14" max="17" width="30.54296875" customWidth="1"/>
    <col min="18" max="19" width="2.54296875" customWidth="1"/>
    <col min="20" max="23" width="30.54296875" customWidth="1"/>
    <col min="24" max="25" width="2.54296875" customWidth="1"/>
    <col min="26" max="29" width="30.54296875" customWidth="1"/>
    <col min="30" max="31" width="2.54296875" customWidth="1"/>
    <col min="32" max="33" width="16.7265625" hidden="1" customWidth="1"/>
    <col min="34" max="34" width="11.26953125" hidden="1" customWidth="1"/>
    <col min="35" max="37" width="16.7265625" hidden="1" customWidth="1"/>
    <col min="38" max="38" width="13.54296875" hidden="1" customWidth="1"/>
    <col min="39" max="40" width="16.7265625" hidden="1" customWidth="1"/>
    <col min="41" max="41" width="15.453125" hidden="1" customWidth="1"/>
    <col min="42" max="48" width="16.7265625" hidden="1" customWidth="1"/>
    <col min="49" max="49" width="22.54296875" hidden="1" customWidth="1"/>
    <col min="50" max="56" width="8.7265625" hidden="1" customWidth="1"/>
    <col min="57" max="16384" width="16.7265625" hidden="1"/>
  </cols>
  <sheetData>
    <row r="1" spans="2:49" x14ac:dyDescent="0.35"/>
    <row r="2" spans="2:49" ht="30" customHeight="1" x14ac:dyDescent="0.35">
      <c r="B2" s="143" t="s">
        <v>14</v>
      </c>
      <c r="C2" s="144"/>
      <c r="D2" s="144"/>
      <c r="E2" s="144"/>
      <c r="F2" s="122"/>
      <c r="G2" s="122"/>
      <c r="H2" s="145" t="s">
        <v>84</v>
      </c>
      <c r="I2" s="144"/>
      <c r="J2" s="144"/>
      <c r="K2" s="144"/>
      <c r="L2" s="106"/>
      <c r="M2" s="106"/>
      <c r="N2" s="145" t="s">
        <v>66</v>
      </c>
      <c r="O2" s="144"/>
      <c r="P2" s="144"/>
      <c r="Q2" s="144"/>
      <c r="R2" s="106"/>
      <c r="S2" s="106"/>
      <c r="T2" s="145" t="s">
        <v>15</v>
      </c>
      <c r="U2" s="144"/>
      <c r="V2" s="144"/>
      <c r="W2" s="144"/>
      <c r="X2" s="106"/>
      <c r="Y2" s="106"/>
      <c r="Z2" s="145" t="s">
        <v>65</v>
      </c>
      <c r="AA2" s="144"/>
      <c r="AB2" s="144"/>
      <c r="AC2" s="144"/>
      <c r="AD2" s="106"/>
      <c r="AE2" s="106"/>
    </row>
    <row r="3" spans="2:49" ht="15.65" customHeight="1" x14ac:dyDescent="0.35">
      <c r="B3" s="106"/>
      <c r="C3" s="321"/>
      <c r="D3" s="106"/>
      <c r="E3" s="106"/>
      <c r="H3" s="106"/>
      <c r="I3" s="106"/>
      <c r="J3" s="106"/>
      <c r="K3" s="106"/>
      <c r="AL3" s="49" t="s">
        <v>90</v>
      </c>
      <c r="AP3" s="28" t="s">
        <v>18</v>
      </c>
      <c r="AR3" s="28" t="s">
        <v>19</v>
      </c>
      <c r="AU3" s="90" t="s">
        <v>167</v>
      </c>
      <c r="AV3" s="185"/>
      <c r="AW3" s="186"/>
    </row>
    <row r="4" spans="2:49" ht="15.65" customHeight="1" x14ac:dyDescent="0.35">
      <c r="B4" s="322"/>
      <c r="C4" s="321"/>
      <c r="D4" s="106"/>
      <c r="E4" s="106"/>
      <c r="H4" s="106"/>
      <c r="I4" s="106"/>
      <c r="J4" s="106"/>
      <c r="K4" s="106"/>
      <c r="AF4" s="33" t="s">
        <v>16</v>
      </c>
      <c r="AG4" s="34"/>
      <c r="AH4" s="44"/>
      <c r="AI4" s="8" t="s">
        <v>82</v>
      </c>
      <c r="AJ4" s="28" t="s">
        <v>81</v>
      </c>
      <c r="AK4" s="28"/>
      <c r="AL4" s="46" t="s">
        <v>89</v>
      </c>
      <c r="AN4" s="187"/>
      <c r="AO4" s="187"/>
      <c r="AP4" s="188">
        <v>0</v>
      </c>
      <c r="AR4" s="189">
        <v>1</v>
      </c>
      <c r="AT4" s="187"/>
      <c r="AU4" s="190"/>
      <c r="AV4" s="21" t="s">
        <v>85</v>
      </c>
      <c r="AW4" s="21" t="s">
        <v>86</v>
      </c>
    </row>
    <row r="5" spans="2:49" ht="15.65" customHeight="1" x14ac:dyDescent="0.35">
      <c r="B5" s="106"/>
      <c r="C5" s="106"/>
      <c r="D5" s="106"/>
      <c r="E5" s="106"/>
      <c r="H5" s="106"/>
      <c r="I5" s="106"/>
      <c r="J5" s="106"/>
      <c r="K5" s="106"/>
      <c r="AF5" s="191" t="s">
        <v>20</v>
      </c>
      <c r="AG5" s="192"/>
      <c r="AH5" s="193">
        <f>C45/25.4</f>
        <v>47.99212598425197</v>
      </c>
      <c r="AI5" s="194">
        <f>[1]Données!E7</f>
        <v>0.71875</v>
      </c>
      <c r="AJ5" s="195" t="s">
        <v>21</v>
      </c>
      <c r="AK5" s="194">
        <f>AH5+(1.75*2)+(2*$AI$5)</f>
        <v>52.92962598425197</v>
      </c>
      <c r="AL5" s="196">
        <f>IF(C41&gt;0,AK5+0.25,AK5)</f>
        <v>53.17962598425197</v>
      </c>
      <c r="AN5" s="187"/>
      <c r="AO5" s="187"/>
      <c r="AP5" s="188">
        <v>4</v>
      </c>
      <c r="AR5" s="189">
        <v>2</v>
      </c>
      <c r="AT5" s="187"/>
      <c r="AU5" s="64" t="s">
        <v>1</v>
      </c>
      <c r="AV5" s="197">
        <f>Data!G7/(Data!K7/12*Data!L7/12)</f>
        <v>1.90625</v>
      </c>
      <c r="AW5" s="198">
        <f>Data!H7/(Data!K7/12*Data!L7/12)</f>
        <v>2.03125</v>
      </c>
    </row>
    <row r="6" spans="2:49" ht="15.65" customHeight="1" x14ac:dyDescent="0.35">
      <c r="B6" s="106"/>
      <c r="C6" s="106"/>
      <c r="D6" s="106"/>
      <c r="E6" s="106"/>
      <c r="H6" s="106"/>
      <c r="I6" s="106"/>
      <c r="J6" s="106"/>
      <c r="K6" s="106"/>
      <c r="AF6" s="199" t="s">
        <v>24</v>
      </c>
      <c r="AG6" s="200"/>
      <c r="AH6" s="193">
        <f>C46/25.4</f>
        <v>42.99212598425197</v>
      </c>
      <c r="AI6" s="67" t="s">
        <v>83</v>
      </c>
      <c r="AJ6" s="201" t="s">
        <v>25</v>
      </c>
      <c r="AK6" s="202">
        <f>AH6+(2*$AI$5)+(2*1.75)</f>
        <v>47.92962598425197</v>
      </c>
      <c r="AL6" s="187"/>
      <c r="AN6" s="187"/>
      <c r="AO6" s="187"/>
      <c r="AP6" s="188">
        <v>6</v>
      </c>
      <c r="AT6" s="187"/>
      <c r="AU6" s="64" t="s">
        <v>2</v>
      </c>
      <c r="AV6" s="197">
        <f>Data!G8/(Data!K8/12*Data!L8/12)</f>
        <v>0.39687499999999998</v>
      </c>
      <c r="AW6" s="198">
        <f>Data!H8/(Data!K8/12*Data!L8/12)</f>
        <v>0.75</v>
      </c>
    </row>
    <row r="7" spans="2:49" ht="15.65" customHeight="1" x14ac:dyDescent="0.35">
      <c r="B7" s="106"/>
      <c r="C7" s="106"/>
      <c r="D7" s="106"/>
      <c r="E7" s="106"/>
      <c r="H7" s="106"/>
      <c r="I7" s="106"/>
      <c r="J7" s="106"/>
      <c r="K7" s="106"/>
      <c r="AF7" s="203" t="s">
        <v>28</v>
      </c>
      <c r="AG7" s="204"/>
      <c r="AH7" s="193">
        <f>C47/25.4</f>
        <v>10</v>
      </c>
      <c r="AI7" s="194">
        <f>[1]Données!E8</f>
        <v>0.625</v>
      </c>
      <c r="AJ7" s="201" t="s">
        <v>29</v>
      </c>
      <c r="AK7" s="202">
        <f>AH7+(2*$AI$7)</f>
        <v>11.25</v>
      </c>
      <c r="AL7" s="187"/>
      <c r="AN7" s="187"/>
      <c r="AO7" s="187"/>
      <c r="AP7" s="188">
        <v>8</v>
      </c>
      <c r="AT7" s="187"/>
      <c r="AV7" s="187"/>
      <c r="AW7" s="187"/>
    </row>
    <row r="8" spans="2:49" ht="15.65" customHeight="1" x14ac:dyDescent="0.35">
      <c r="B8" s="322"/>
      <c r="C8" s="106"/>
      <c r="D8" s="106"/>
      <c r="E8" s="106"/>
      <c r="H8" s="123"/>
      <c r="I8" s="123"/>
      <c r="J8" s="123"/>
      <c r="K8" s="123"/>
      <c r="L8" s="3"/>
      <c r="M8" s="3"/>
      <c r="AF8" s="187"/>
      <c r="AG8" s="187"/>
      <c r="AH8" s="187"/>
      <c r="AI8" s="187"/>
      <c r="AJ8" s="187"/>
      <c r="AK8" s="205"/>
      <c r="AL8" s="206"/>
      <c r="AM8" s="187"/>
      <c r="AN8" s="187"/>
      <c r="AP8" s="188">
        <v>10</v>
      </c>
      <c r="AT8" s="187"/>
      <c r="AU8" s="64" t="s">
        <v>98</v>
      </c>
      <c r="AV8" s="21" t="s">
        <v>91</v>
      </c>
      <c r="AW8" s="21" t="s">
        <v>92</v>
      </c>
    </row>
    <row r="9" spans="2:49" ht="15.65" customHeight="1" x14ac:dyDescent="0.35">
      <c r="B9" s="106"/>
      <c r="C9" s="106"/>
      <c r="D9" s="106"/>
      <c r="E9" s="106"/>
      <c r="H9" s="123"/>
      <c r="I9" s="123"/>
      <c r="J9" s="123"/>
      <c r="K9" s="123"/>
      <c r="L9" s="3"/>
      <c r="M9" s="3"/>
      <c r="AF9" s="28" t="s">
        <v>31</v>
      </c>
      <c r="AG9" s="28"/>
      <c r="AH9" s="28"/>
      <c r="AI9" s="28"/>
      <c r="AJ9" s="28"/>
      <c r="AK9" s="28"/>
      <c r="AL9" s="28"/>
      <c r="AM9" s="28"/>
      <c r="AN9" s="28"/>
      <c r="AP9" s="207">
        <v>12</v>
      </c>
      <c r="AT9" s="187"/>
      <c r="AU9" s="104" t="s">
        <v>63</v>
      </c>
      <c r="AV9" s="208">
        <f>Data!J24/Data!H24</f>
        <v>0.625</v>
      </c>
      <c r="AW9" s="209">
        <f>Data!F24/Data!H24</f>
        <v>0.43125000000000002</v>
      </c>
    </row>
    <row r="10" spans="2:49" ht="15.65" customHeight="1" x14ac:dyDescent="0.35">
      <c r="B10" s="106"/>
      <c r="C10" s="106"/>
      <c r="D10" s="106"/>
      <c r="E10" s="106"/>
      <c r="H10" s="123"/>
      <c r="I10" s="123"/>
      <c r="J10" s="123"/>
      <c r="K10" s="123"/>
      <c r="L10" s="3"/>
      <c r="M10" s="3"/>
      <c r="AF10" s="189"/>
      <c r="AG10" s="189"/>
      <c r="AH10" s="189"/>
      <c r="AI10" s="8" t="s">
        <v>32</v>
      </c>
      <c r="AJ10" s="8" t="s">
        <v>33</v>
      </c>
      <c r="AK10" s="8" t="s">
        <v>34</v>
      </c>
      <c r="AL10" s="8" t="s">
        <v>35</v>
      </c>
      <c r="AM10" s="8" t="s">
        <v>36</v>
      </c>
      <c r="AN10" s="8" t="s">
        <v>37</v>
      </c>
      <c r="AO10" s="187"/>
      <c r="AT10" s="187"/>
      <c r="AU10" s="77" t="s">
        <v>13</v>
      </c>
      <c r="AV10" s="210">
        <f>Data!J25/Data!H25</f>
        <v>0.15</v>
      </c>
      <c r="AW10" s="211">
        <f>Data!F25/Data!H25</f>
        <v>0.6</v>
      </c>
    </row>
    <row r="11" spans="2:49" ht="15.65" customHeight="1" x14ac:dyDescent="0.35">
      <c r="B11" s="106"/>
      <c r="C11" s="106"/>
      <c r="D11" s="106"/>
      <c r="E11" s="106"/>
      <c r="H11" s="123"/>
      <c r="I11" s="123"/>
      <c r="J11" s="123"/>
      <c r="K11" s="123"/>
      <c r="L11" s="3"/>
      <c r="M11" s="3"/>
      <c r="AF11" s="212" t="s">
        <v>39</v>
      </c>
      <c r="AG11" s="189"/>
      <c r="AH11" s="189"/>
      <c r="AI11" s="197">
        <f>AK18</f>
        <v>47.99212598425197</v>
      </c>
      <c r="AJ11" s="194">
        <f>AI11-AI5</f>
        <v>47.27337598425197</v>
      </c>
      <c r="AK11" s="197">
        <f>QUOTIENT(AJ11,20)</f>
        <v>2</v>
      </c>
      <c r="AL11" s="197">
        <f>AK11+2</f>
        <v>4</v>
      </c>
      <c r="AM11" s="197">
        <f>AJ11/(AL11+1)</f>
        <v>9.4546751968503937</v>
      </c>
      <c r="AN11" s="189">
        <f>AL11</f>
        <v>4</v>
      </c>
      <c r="AO11" s="187"/>
      <c r="AT11" s="187"/>
      <c r="AU11" s="187"/>
      <c r="AV11" s="187"/>
      <c r="AW11" s="187"/>
    </row>
    <row r="12" spans="2:49" ht="15.65" customHeight="1" x14ac:dyDescent="0.35">
      <c r="B12" s="106"/>
      <c r="C12" s="106"/>
      <c r="D12" s="106"/>
      <c r="E12" s="106"/>
      <c r="H12" s="123"/>
      <c r="I12" s="123"/>
      <c r="J12" s="123"/>
      <c r="K12" s="123"/>
      <c r="L12" s="3"/>
      <c r="M12" s="3"/>
      <c r="AF12" s="213" t="s">
        <v>41</v>
      </c>
      <c r="AG12" s="214"/>
      <c r="AH12" s="214"/>
      <c r="AI12" s="215">
        <f>AK21</f>
        <v>47.92962598425197</v>
      </c>
      <c r="AJ12" s="215">
        <f>AI12-((1.5*2)+(2*AI5))</f>
        <v>43.49212598425197</v>
      </c>
      <c r="AK12" s="215">
        <f>QUOTIENT(AJ12,20)</f>
        <v>2</v>
      </c>
      <c r="AL12" s="215">
        <f>AK12+2</f>
        <v>4</v>
      </c>
      <c r="AM12" s="215">
        <f>AJ12/(AL12+1)</f>
        <v>8.6984251968503941</v>
      </c>
      <c r="AN12" s="214">
        <f>AL12</f>
        <v>4</v>
      </c>
      <c r="AO12" s="216"/>
      <c r="AP12" s="216"/>
      <c r="AQ12" s="217"/>
      <c r="AR12" s="216"/>
      <c r="AS12" s="187"/>
      <c r="AT12" s="187"/>
      <c r="AU12" s="187"/>
      <c r="AV12" s="187"/>
      <c r="AW12" s="187"/>
    </row>
    <row r="13" spans="2:49" ht="15.65" customHeight="1" x14ac:dyDescent="0.35">
      <c r="B13" s="106"/>
      <c r="C13" s="106"/>
      <c r="D13" s="106"/>
      <c r="E13" s="323"/>
      <c r="H13" s="123"/>
      <c r="I13" s="123"/>
      <c r="J13" s="123"/>
      <c r="K13" s="123"/>
      <c r="L13" s="3"/>
      <c r="M13" s="3"/>
      <c r="AF13" s="187"/>
      <c r="AG13" s="187"/>
      <c r="AH13" s="9" t="s">
        <v>42</v>
      </c>
      <c r="AI13" s="218">
        <f>SUM(AN11:AN12)</f>
        <v>8</v>
      </c>
      <c r="AJ13" s="187"/>
      <c r="AK13" s="187"/>
      <c r="AL13" s="187"/>
      <c r="AM13" s="187"/>
      <c r="AN13" s="187"/>
      <c r="AO13" s="187"/>
      <c r="AP13" s="187"/>
      <c r="AQ13" s="187"/>
      <c r="AR13" s="187"/>
      <c r="AS13" s="187"/>
      <c r="AT13" s="187"/>
      <c r="AU13" s="187"/>
      <c r="AV13" s="187"/>
      <c r="AW13" s="187"/>
    </row>
    <row r="14" spans="2:49" ht="15.65" customHeight="1" x14ac:dyDescent="0.35">
      <c r="B14" s="106"/>
      <c r="C14" s="106"/>
      <c r="D14" s="106"/>
      <c r="E14" s="106"/>
      <c r="H14" s="123"/>
      <c r="I14" s="123"/>
      <c r="J14" s="123"/>
      <c r="K14" s="123"/>
      <c r="L14" s="3"/>
      <c r="M14" s="3"/>
      <c r="AF14" s="187"/>
      <c r="AG14" s="187"/>
      <c r="AH14" s="187"/>
      <c r="AI14" s="187"/>
      <c r="AJ14" s="187"/>
      <c r="AK14" s="187"/>
      <c r="AL14" s="187"/>
      <c r="AM14" s="187"/>
      <c r="AN14" s="187"/>
      <c r="AO14" s="187"/>
      <c r="AP14" s="187"/>
      <c r="AQ14" s="187"/>
      <c r="AR14" s="187"/>
      <c r="AS14" s="187"/>
      <c r="AT14" s="187"/>
      <c r="AU14" s="187"/>
      <c r="AV14" s="187"/>
      <c r="AW14" s="187"/>
    </row>
    <row r="15" spans="2:49" ht="15.65" customHeight="1" x14ac:dyDescent="0.35">
      <c r="B15" s="106"/>
      <c r="C15" s="106"/>
      <c r="D15" s="106"/>
      <c r="E15" s="106"/>
      <c r="H15" s="123"/>
      <c r="I15" s="123"/>
      <c r="J15" s="123"/>
      <c r="K15" s="123"/>
      <c r="L15" s="3"/>
      <c r="M15" s="3"/>
      <c r="AF15" s="187"/>
      <c r="AG15" s="187"/>
      <c r="AH15" s="187"/>
      <c r="AI15" s="187"/>
      <c r="AJ15" s="187"/>
      <c r="AK15" s="187"/>
      <c r="AL15" s="187"/>
      <c r="AM15" s="187"/>
      <c r="AN15" s="8" t="s">
        <v>97</v>
      </c>
      <c r="AO15" s="8" t="s">
        <v>97</v>
      </c>
      <c r="AP15" s="187"/>
      <c r="AQ15" s="187"/>
      <c r="AR15" s="187"/>
      <c r="AS15" s="187"/>
      <c r="AT15" s="187"/>
      <c r="AU15" s="187"/>
      <c r="AV15" s="187"/>
      <c r="AW15" s="187"/>
    </row>
    <row r="16" spans="2:49" ht="15.65" customHeight="1" x14ac:dyDescent="0.35">
      <c r="B16" s="106"/>
      <c r="C16" s="106"/>
      <c r="D16" s="106"/>
      <c r="E16" s="106"/>
      <c r="H16" s="123"/>
      <c r="I16" s="123"/>
      <c r="J16" s="123"/>
      <c r="K16" s="123"/>
      <c r="L16" s="3"/>
      <c r="M16" s="3"/>
      <c r="AF16" s="49" t="s">
        <v>3</v>
      </c>
      <c r="AG16" s="41" t="s">
        <v>4</v>
      </c>
      <c r="AH16" s="50"/>
      <c r="AI16" s="49" t="s">
        <v>43</v>
      </c>
      <c r="AJ16" s="49" t="s">
        <v>44</v>
      </c>
      <c r="AK16" s="25"/>
      <c r="AL16" s="22" t="s">
        <v>45</v>
      </c>
      <c r="AM16" s="24"/>
      <c r="AN16" s="49" t="s">
        <v>71</v>
      </c>
      <c r="AO16" s="49" t="s">
        <v>87</v>
      </c>
      <c r="AP16" s="57" t="s">
        <v>96</v>
      </c>
      <c r="AQ16" s="49" t="s">
        <v>46</v>
      </c>
      <c r="AR16" s="49" t="s">
        <v>47</v>
      </c>
      <c r="AS16" s="49" t="s">
        <v>1</v>
      </c>
      <c r="AT16" s="49" t="s">
        <v>2</v>
      </c>
      <c r="AU16" s="49" t="s">
        <v>49</v>
      </c>
      <c r="AV16" s="49" t="s">
        <v>51</v>
      </c>
      <c r="AW16" s="49" t="s">
        <v>52</v>
      </c>
    </row>
    <row r="17" spans="2:49" ht="15.65" customHeight="1" x14ac:dyDescent="0.35">
      <c r="B17" s="106"/>
      <c r="C17" s="106"/>
      <c r="D17" s="106"/>
      <c r="E17" s="106"/>
      <c r="H17" s="123"/>
      <c r="I17" s="123"/>
      <c r="J17" s="123"/>
      <c r="K17" s="123"/>
      <c r="L17" s="3"/>
      <c r="M17" s="3"/>
      <c r="AF17" s="219"/>
      <c r="AG17" s="220"/>
      <c r="AH17" s="221"/>
      <c r="AI17" s="219"/>
      <c r="AJ17" s="219"/>
      <c r="AK17" s="62" t="s">
        <v>53</v>
      </c>
      <c r="AL17" s="216"/>
      <c r="AM17" s="63" t="s">
        <v>53</v>
      </c>
      <c r="AN17" s="53" t="s">
        <v>54</v>
      </c>
      <c r="AO17" s="66" t="s">
        <v>99</v>
      </c>
      <c r="AP17" s="51"/>
      <c r="AQ17" s="52" t="s">
        <v>0</v>
      </c>
      <c r="AR17" s="52" t="s">
        <v>54</v>
      </c>
      <c r="AS17" s="52" t="s">
        <v>0</v>
      </c>
      <c r="AT17" s="52" t="s">
        <v>0</v>
      </c>
      <c r="AU17" s="52" t="s">
        <v>0</v>
      </c>
      <c r="AV17" s="52" t="s">
        <v>0</v>
      </c>
      <c r="AW17" s="53" t="s">
        <v>55</v>
      </c>
    </row>
    <row r="18" spans="2:49" ht="15.65" customHeight="1" x14ac:dyDescent="0.35">
      <c r="B18" s="106"/>
      <c r="C18" s="106"/>
      <c r="D18" s="106"/>
      <c r="E18" s="106"/>
      <c r="H18" s="123"/>
      <c r="I18" s="123"/>
      <c r="J18" s="123"/>
      <c r="K18" s="123"/>
      <c r="L18" s="3"/>
      <c r="M18" s="3"/>
      <c r="AF18" s="189">
        <v>1</v>
      </c>
      <c r="AG18" s="212" t="s">
        <v>56</v>
      </c>
      <c r="AH18" s="212"/>
      <c r="AI18" s="212"/>
      <c r="AJ18" s="189">
        <v>2</v>
      </c>
      <c r="AK18" s="202">
        <f>AH5</f>
        <v>47.99212598425197</v>
      </c>
      <c r="AL18" s="222" t="s">
        <v>57</v>
      </c>
      <c r="AM18" s="202">
        <f>AH7</f>
        <v>10</v>
      </c>
      <c r="AN18" s="223">
        <f>AK18*AM18*0.00694444</f>
        <v>3.3327843937007873</v>
      </c>
      <c r="AO18" s="224"/>
      <c r="AP18" s="194">
        <f t="shared" ref="AP18:AP23" si="0">$AV$5</f>
        <v>1.90625</v>
      </c>
      <c r="AQ18" s="225">
        <f t="shared" ref="AQ18:AQ23" si="1">AN18*$AW$5</f>
        <v>6.7697182997047243</v>
      </c>
      <c r="AR18" s="226">
        <f t="shared" ref="AR18:AR23" si="2">AJ18*AN18</f>
        <v>6.6655687874015745</v>
      </c>
      <c r="AS18" s="227">
        <f>AQ18*AJ18</f>
        <v>13.539436599409449</v>
      </c>
      <c r="AT18" s="195"/>
      <c r="AU18" s="195"/>
      <c r="AV18" s="195"/>
      <c r="AW18" s="228">
        <f>AP18*AJ18*AN18</f>
        <v>12.706240500984251</v>
      </c>
    </row>
    <row r="19" spans="2:49" ht="15.65" customHeight="1" x14ac:dyDescent="0.35">
      <c r="B19" s="106"/>
      <c r="C19" s="106"/>
      <c r="D19" s="106"/>
      <c r="E19" s="106"/>
      <c r="H19" s="123"/>
      <c r="I19" s="123"/>
      <c r="J19" s="123"/>
      <c r="K19" s="123"/>
      <c r="L19" s="3"/>
      <c r="M19" s="3"/>
      <c r="AF19" s="214">
        <v>2</v>
      </c>
      <c r="AG19" s="213" t="s">
        <v>58</v>
      </c>
      <c r="AH19" s="213"/>
      <c r="AI19" s="213"/>
      <c r="AJ19" s="214">
        <v>4</v>
      </c>
      <c r="AK19" s="202">
        <f>AH5</f>
        <v>47.99212598425197</v>
      </c>
      <c r="AL19" s="222" t="s">
        <v>57</v>
      </c>
      <c r="AM19" s="202">
        <v>1.75</v>
      </c>
      <c r="AN19" s="229">
        <f>AK19*AM19*0.00694444</f>
        <v>0.58323726889763783</v>
      </c>
      <c r="AO19" s="230"/>
      <c r="AP19" s="215">
        <f t="shared" si="0"/>
        <v>1.90625</v>
      </c>
      <c r="AQ19" s="231">
        <f t="shared" si="1"/>
        <v>1.1847007024483269</v>
      </c>
      <c r="AR19" s="232">
        <f t="shared" si="2"/>
        <v>2.3329490755905513</v>
      </c>
      <c r="AS19" s="233">
        <f t="shared" ref="AS19:AS22" si="3">AQ19*AJ19</f>
        <v>4.7388028097933077</v>
      </c>
      <c r="AT19" s="234"/>
      <c r="AU19" s="234"/>
      <c r="AV19" s="234"/>
      <c r="AW19" s="235">
        <f t="shared" ref="AW19:AW23" si="4">AP19*AJ19*AN19</f>
        <v>4.4471841753444883</v>
      </c>
    </row>
    <row r="20" spans="2:49" ht="15.65" customHeight="1" x14ac:dyDescent="0.35">
      <c r="B20" s="106"/>
      <c r="C20" s="106"/>
      <c r="D20" s="106"/>
      <c r="E20" s="106"/>
      <c r="F20" s="99"/>
      <c r="G20" s="99"/>
      <c r="H20" s="123"/>
      <c r="I20" s="123"/>
      <c r="J20" s="123"/>
      <c r="K20" s="123"/>
      <c r="L20" s="3"/>
      <c r="M20" s="3"/>
      <c r="AF20" s="189">
        <v>3</v>
      </c>
      <c r="AG20" s="212" t="s">
        <v>59</v>
      </c>
      <c r="AH20" s="212"/>
      <c r="AI20" s="212"/>
      <c r="AJ20" s="189">
        <v>2</v>
      </c>
      <c r="AK20" s="202">
        <f>AH7-(2*AI5)</f>
        <v>8.5625</v>
      </c>
      <c r="AL20" s="222" t="s">
        <v>57</v>
      </c>
      <c r="AM20" s="202">
        <v>1.75</v>
      </c>
      <c r="AN20" s="223">
        <f t="shared" ref="AN20:AN23" si="5">AK20*AM20*0.00694444</f>
        <v>0.104058093125</v>
      </c>
      <c r="AO20" s="224"/>
      <c r="AP20" s="194">
        <f t="shared" si="0"/>
        <v>1.90625</v>
      </c>
      <c r="AQ20" s="225">
        <f t="shared" si="1"/>
        <v>0.21136800166015626</v>
      </c>
      <c r="AR20" s="226">
        <f t="shared" si="2"/>
        <v>0.20811618625</v>
      </c>
      <c r="AS20" s="227">
        <f t="shared" si="3"/>
        <v>0.42273600332031253</v>
      </c>
      <c r="AT20" s="195"/>
      <c r="AU20" s="195"/>
      <c r="AV20" s="195"/>
      <c r="AW20" s="228">
        <f t="shared" si="4"/>
        <v>0.39672148003906249</v>
      </c>
    </row>
    <row r="21" spans="2:49" ht="15.65" customHeight="1" x14ac:dyDescent="0.35">
      <c r="B21" s="106"/>
      <c r="C21" s="106"/>
      <c r="D21" s="106"/>
      <c r="E21" s="106"/>
      <c r="F21" s="99"/>
      <c r="G21" s="99"/>
      <c r="H21" s="123"/>
      <c r="I21" s="123"/>
      <c r="J21" s="123"/>
      <c r="K21" s="123"/>
      <c r="L21" s="3"/>
      <c r="M21" s="3"/>
      <c r="AF21" s="214">
        <v>4</v>
      </c>
      <c r="AG21" s="213" t="s">
        <v>60</v>
      </c>
      <c r="AH21" s="213"/>
      <c r="AI21" s="213"/>
      <c r="AJ21" s="214">
        <v>2</v>
      </c>
      <c r="AK21" s="202">
        <f>AK6</f>
        <v>47.92962598425197</v>
      </c>
      <c r="AL21" s="222" t="s">
        <v>57</v>
      </c>
      <c r="AM21" s="202">
        <f>AH7</f>
        <v>10</v>
      </c>
      <c r="AN21" s="229">
        <f t="shared" si="5"/>
        <v>3.3284441187007872</v>
      </c>
      <c r="AO21" s="230"/>
      <c r="AP21" s="215">
        <f t="shared" si="0"/>
        <v>1.90625</v>
      </c>
      <c r="AQ21" s="231">
        <f t="shared" si="1"/>
        <v>6.7609021161109739</v>
      </c>
      <c r="AR21" s="232">
        <f t="shared" si="2"/>
        <v>6.6568882374015743</v>
      </c>
      <c r="AS21" s="233">
        <f t="shared" si="3"/>
        <v>13.521804232221948</v>
      </c>
      <c r="AT21" s="234"/>
      <c r="AU21" s="234"/>
      <c r="AV21" s="234"/>
      <c r="AW21" s="235">
        <f t="shared" si="4"/>
        <v>12.689693202546751</v>
      </c>
    </row>
    <row r="22" spans="2:49" ht="15.65" customHeight="1" x14ac:dyDescent="0.35">
      <c r="B22" s="106"/>
      <c r="C22" s="106"/>
      <c r="D22" s="106"/>
      <c r="E22" s="106"/>
      <c r="F22" s="79"/>
      <c r="G22" s="79"/>
      <c r="H22" s="123"/>
      <c r="I22" s="123"/>
      <c r="J22" s="123"/>
      <c r="K22" s="123"/>
      <c r="L22" s="3"/>
      <c r="M22" s="3"/>
      <c r="AF22" s="189">
        <v>5</v>
      </c>
      <c r="AG22" s="212" t="s">
        <v>61</v>
      </c>
      <c r="AH22" s="212"/>
      <c r="AI22" s="212"/>
      <c r="AJ22" s="189">
        <v>4</v>
      </c>
      <c r="AK22" s="202">
        <f>AK6</f>
        <v>47.92962598425197</v>
      </c>
      <c r="AL22" s="222" t="s">
        <v>57</v>
      </c>
      <c r="AM22" s="202">
        <v>1.75</v>
      </c>
      <c r="AN22" s="223">
        <f t="shared" si="5"/>
        <v>0.58247772077263782</v>
      </c>
      <c r="AO22" s="224"/>
      <c r="AP22" s="194">
        <f t="shared" si="0"/>
        <v>1.90625</v>
      </c>
      <c r="AQ22" s="225">
        <f t="shared" si="1"/>
        <v>1.1831578703194205</v>
      </c>
      <c r="AR22" s="226">
        <f t="shared" si="2"/>
        <v>2.3299108830905513</v>
      </c>
      <c r="AS22" s="227">
        <f t="shared" si="3"/>
        <v>4.7326314812776822</v>
      </c>
      <c r="AT22" s="195"/>
      <c r="AU22" s="195"/>
      <c r="AV22" s="195"/>
      <c r="AW22" s="228">
        <f t="shared" si="4"/>
        <v>4.4413926208913637</v>
      </c>
    </row>
    <row r="23" spans="2:49" ht="15.65" customHeight="1" x14ac:dyDescent="0.35">
      <c r="B23" s="158"/>
      <c r="C23" s="106"/>
      <c r="D23" s="106"/>
      <c r="E23" s="106"/>
      <c r="F23" s="79"/>
      <c r="G23" s="79"/>
      <c r="H23" s="123"/>
      <c r="I23" s="123"/>
      <c r="J23" s="123"/>
      <c r="K23" s="123"/>
      <c r="L23" s="3"/>
      <c r="M23" s="3"/>
      <c r="AF23" s="214">
        <v>6</v>
      </c>
      <c r="AG23" s="213" t="s">
        <v>62</v>
      </c>
      <c r="AH23" s="213"/>
      <c r="AI23" s="213"/>
      <c r="AJ23" s="236">
        <f>AI13*2</f>
        <v>16</v>
      </c>
      <c r="AK23" s="202">
        <f>AH7-(2*AI5)</f>
        <v>8.5625</v>
      </c>
      <c r="AL23" s="222" t="s">
        <v>57</v>
      </c>
      <c r="AM23" s="202">
        <f>1.75</f>
        <v>1.75</v>
      </c>
      <c r="AN23" s="229">
        <f t="shared" si="5"/>
        <v>0.104058093125</v>
      </c>
      <c r="AO23" s="230"/>
      <c r="AP23" s="215">
        <f t="shared" si="0"/>
        <v>1.90625</v>
      </c>
      <c r="AQ23" s="231">
        <f t="shared" si="1"/>
        <v>0.21136800166015626</v>
      </c>
      <c r="AR23" s="232">
        <f t="shared" si="2"/>
        <v>1.66492949</v>
      </c>
      <c r="AS23" s="233">
        <f>AQ23*AJ23</f>
        <v>3.3818880265625002</v>
      </c>
      <c r="AT23" s="234"/>
      <c r="AU23" s="234"/>
      <c r="AV23" s="234"/>
      <c r="AW23" s="235">
        <f t="shared" si="4"/>
        <v>3.1737718403124999</v>
      </c>
    </row>
    <row r="24" spans="2:49" ht="15.65" customHeight="1" x14ac:dyDescent="0.35">
      <c r="B24" s="106"/>
      <c r="C24" s="13"/>
      <c r="D24" s="124"/>
      <c r="E24" s="106"/>
      <c r="F24" s="42"/>
      <c r="G24" s="42"/>
      <c r="H24" s="123"/>
      <c r="I24" s="123"/>
      <c r="J24" s="123"/>
      <c r="K24" s="123"/>
      <c r="L24" s="3"/>
      <c r="M24" s="3"/>
      <c r="AF24" s="189">
        <v>7</v>
      </c>
      <c r="AG24" s="212" t="s">
        <v>63</v>
      </c>
      <c r="AH24" s="212"/>
      <c r="AI24" s="212"/>
      <c r="AJ24" s="189">
        <f>C41</f>
        <v>4</v>
      </c>
      <c r="AK24" s="202" t="s">
        <v>88</v>
      </c>
      <c r="AL24" s="222" t="s">
        <v>57</v>
      </c>
      <c r="AM24" s="202">
        <f>IF(C41&gt;0,((AH6/3)/(C41/2)),0)</f>
        <v>7.165354330708662</v>
      </c>
      <c r="AN24" s="223"/>
      <c r="AO24" s="194">
        <f>(AM24/12)*AJ24</f>
        <v>2.3884514435695539</v>
      </c>
      <c r="AP24" s="194">
        <f>AV9</f>
        <v>0.625</v>
      </c>
      <c r="AQ24" s="225"/>
      <c r="AR24" s="226"/>
      <c r="AS24" s="227"/>
      <c r="AT24" s="195"/>
      <c r="AU24" s="227">
        <f>AO24*AW9</f>
        <v>1.0300196850393701</v>
      </c>
      <c r="AV24" s="195"/>
      <c r="AW24" s="228">
        <f>AP24*AO24</f>
        <v>1.4927821522309712</v>
      </c>
    </row>
    <row r="25" spans="2:49" ht="15.65" customHeight="1" x14ac:dyDescent="0.35">
      <c r="B25" s="106"/>
      <c r="C25" s="124"/>
      <c r="D25" s="124"/>
      <c r="E25" s="106"/>
      <c r="F25" s="42"/>
      <c r="G25" s="42"/>
      <c r="H25" s="106"/>
      <c r="I25" s="123"/>
      <c r="J25" s="123"/>
      <c r="K25" s="123"/>
      <c r="L25" s="3"/>
      <c r="M25" s="3"/>
      <c r="AF25" s="214">
        <v>8</v>
      </c>
      <c r="AG25" s="234" t="s">
        <v>5</v>
      </c>
      <c r="AH25" s="213"/>
      <c r="AI25" s="213"/>
      <c r="AJ25" s="222">
        <f>SUM(AP39:AP42)</f>
        <v>168</v>
      </c>
      <c r="AK25" s="214"/>
      <c r="AL25" s="214"/>
      <c r="AM25" s="237"/>
      <c r="AN25" s="229"/>
      <c r="AO25" s="230"/>
      <c r="AP25" s="215">
        <f>[1]Données!J12</f>
        <v>4.2938501892000004E-3</v>
      </c>
      <c r="AQ25" s="233"/>
      <c r="AR25" s="234"/>
      <c r="AS25" s="233"/>
      <c r="AT25" s="234"/>
      <c r="AU25" s="234"/>
      <c r="AV25" s="233">
        <f>AQ25*AJ25</f>
        <v>0</v>
      </c>
      <c r="AW25" s="235">
        <f>AP25*AJ25</f>
        <v>0.72136683178560002</v>
      </c>
    </row>
    <row r="26" spans="2:49" ht="15.65" customHeight="1" x14ac:dyDescent="0.35">
      <c r="B26" s="124"/>
      <c r="C26" s="124"/>
      <c r="D26" s="124"/>
      <c r="E26" s="125"/>
      <c r="F26" s="43"/>
      <c r="G26" s="43"/>
      <c r="H26" s="106"/>
      <c r="I26" s="123"/>
      <c r="J26" s="123"/>
      <c r="K26" s="123"/>
      <c r="L26" s="3"/>
      <c r="M26" s="3"/>
      <c r="N26" s="106"/>
      <c r="O26" s="106"/>
      <c r="P26" s="106"/>
      <c r="Q26" s="106"/>
      <c r="T26" s="106"/>
      <c r="U26" s="106"/>
      <c r="V26" s="106"/>
      <c r="W26" s="106"/>
      <c r="Z26" s="106"/>
      <c r="AA26" s="106"/>
      <c r="AB26" s="106"/>
      <c r="AC26" s="106"/>
      <c r="AF26" s="189">
        <v>9</v>
      </c>
      <c r="AG26" s="195" t="s">
        <v>6</v>
      </c>
      <c r="AH26" s="212"/>
      <c r="AI26" s="212"/>
      <c r="AJ26" s="189">
        <v>8</v>
      </c>
      <c r="AK26" s="238"/>
      <c r="AL26" s="189"/>
      <c r="AM26" s="195"/>
      <c r="AN26" s="223"/>
      <c r="AO26" s="224"/>
      <c r="AP26" s="215">
        <f>[1]Données!J13</f>
        <v>4.8707674966720009E-2</v>
      </c>
      <c r="AQ26" s="227">
        <f>[1]Données!H12</f>
        <v>0.06</v>
      </c>
      <c r="AR26" s="195"/>
      <c r="AS26" s="227"/>
      <c r="AT26" s="195"/>
      <c r="AU26" s="195"/>
      <c r="AV26" s="227">
        <f>AQ26*AJ26</f>
        <v>0.48</v>
      </c>
      <c r="AW26" s="228">
        <f>AP26*AJ26</f>
        <v>0.38966139973376007</v>
      </c>
    </row>
    <row r="27" spans="2:49" ht="15.65" customHeight="1" x14ac:dyDescent="0.35">
      <c r="B27" s="106"/>
      <c r="C27" s="106"/>
      <c r="D27" s="106"/>
      <c r="E27" s="106"/>
      <c r="H27" s="106"/>
      <c r="I27" s="106"/>
      <c r="J27" s="106"/>
      <c r="K27" s="106"/>
      <c r="AF27" s="214">
        <v>10</v>
      </c>
      <c r="AG27" s="234" t="s">
        <v>7</v>
      </c>
      <c r="AH27" s="213"/>
      <c r="AI27" s="213"/>
      <c r="AJ27" s="214">
        <v>8</v>
      </c>
      <c r="AK27" s="239"/>
      <c r="AL27" s="234"/>
      <c r="AM27" s="234"/>
      <c r="AN27" s="229"/>
      <c r="AO27" s="230"/>
      <c r="AP27" s="215">
        <f>[1]Données!J14</f>
        <v>1.0151102242160001E-2</v>
      </c>
      <c r="AQ27" s="233">
        <f>[1]Données!H13</f>
        <v>0.17</v>
      </c>
      <c r="AR27" s="234"/>
      <c r="AS27" s="233"/>
      <c r="AT27" s="234"/>
      <c r="AU27" s="234"/>
      <c r="AV27" s="233">
        <f>AQ27*AJ27</f>
        <v>1.36</v>
      </c>
      <c r="AW27" s="235">
        <f>AP27*AJ27</f>
        <v>8.1208817937280006E-2</v>
      </c>
    </row>
    <row r="28" spans="2:49" ht="15.65" customHeight="1" x14ac:dyDescent="0.35">
      <c r="B28" s="106"/>
      <c r="C28" s="106"/>
      <c r="D28" s="106"/>
      <c r="E28" s="106"/>
      <c r="H28" s="106"/>
      <c r="I28" s="106"/>
      <c r="J28" s="106"/>
      <c r="K28" s="106"/>
      <c r="AF28" s="189">
        <v>11</v>
      </c>
      <c r="AG28" s="195" t="s">
        <v>8</v>
      </c>
      <c r="AH28" s="212"/>
      <c r="AI28" s="212"/>
      <c r="AJ28" s="189">
        <v>8</v>
      </c>
      <c r="AK28" s="238"/>
      <c r="AL28" s="195"/>
      <c r="AM28" s="195"/>
      <c r="AN28" s="223"/>
      <c r="AO28" s="224"/>
      <c r="AP28" s="215">
        <f>[1]Données!J15</f>
        <v>9.2042532260799993E-3</v>
      </c>
      <c r="AQ28" s="227">
        <f>[1]Données!H14</f>
        <v>0.17</v>
      </c>
      <c r="AR28" s="195"/>
      <c r="AS28" s="227"/>
      <c r="AT28" s="195"/>
      <c r="AU28" s="195"/>
      <c r="AV28" s="227">
        <f>AQ28*AJ28</f>
        <v>1.36</v>
      </c>
      <c r="AW28" s="228">
        <f>AP28*AJ28</f>
        <v>7.3634025808639994E-2</v>
      </c>
    </row>
    <row r="29" spans="2:49" ht="15.65" customHeight="1" x14ac:dyDescent="0.35">
      <c r="B29" s="106"/>
      <c r="C29" s="106"/>
      <c r="D29" s="106"/>
      <c r="E29" s="106"/>
      <c r="H29" s="106"/>
      <c r="I29" s="106"/>
      <c r="J29" s="106"/>
      <c r="K29" s="106"/>
      <c r="AF29" s="214">
        <v>12</v>
      </c>
      <c r="AG29" s="234" t="s">
        <v>9</v>
      </c>
      <c r="AH29" s="213"/>
      <c r="AI29" s="213"/>
      <c r="AJ29" s="222">
        <f>AJ24*3</f>
        <v>12</v>
      </c>
      <c r="AK29" s="214"/>
      <c r="AL29" s="214"/>
      <c r="AM29" s="234"/>
      <c r="AN29" s="229"/>
      <c r="AO29" s="230"/>
      <c r="AP29" s="215">
        <f>[1]Données!J16</f>
        <v>7.1564169820000009E-3</v>
      </c>
      <c r="AQ29" s="233">
        <f>[1]Données!H15</f>
        <v>0.14000000000000001</v>
      </c>
      <c r="AR29" s="234"/>
      <c r="AS29" s="234"/>
      <c r="AT29" s="234"/>
      <c r="AU29" s="233"/>
      <c r="AV29" s="233">
        <f>AQ29*AJ29</f>
        <v>1.6800000000000002</v>
      </c>
      <c r="AW29" s="235"/>
    </row>
    <row r="30" spans="2:49" ht="15.65" customHeight="1" x14ac:dyDescent="0.35">
      <c r="B30" s="106"/>
      <c r="C30" s="106"/>
      <c r="D30" s="106"/>
      <c r="E30" s="106"/>
      <c r="H30" s="106"/>
      <c r="I30" s="106"/>
      <c r="J30" s="106"/>
      <c r="K30" s="106"/>
      <c r="AF30" s="189">
        <v>13</v>
      </c>
      <c r="AG30" s="195" t="s">
        <v>2</v>
      </c>
      <c r="AH30" s="212"/>
      <c r="AI30" s="189"/>
      <c r="AJ30" s="240">
        <v>2</v>
      </c>
      <c r="AK30" s="241">
        <f>AK5</f>
        <v>52.92962598425197</v>
      </c>
      <c r="AL30" s="222" t="s">
        <v>57</v>
      </c>
      <c r="AM30" s="241">
        <f>AK6</f>
        <v>47.92962598425197</v>
      </c>
      <c r="AN30" s="223">
        <f>AK30*AM30*0.00694444</f>
        <v>17.617330231231584</v>
      </c>
      <c r="AO30" s="224"/>
      <c r="AP30" s="194">
        <f>AV6</f>
        <v>0.39687499999999998</v>
      </c>
      <c r="AQ30" s="227">
        <f>AN30*AW6</f>
        <v>13.212997673423688</v>
      </c>
      <c r="AR30" s="226">
        <f>AJ30*AN30</f>
        <v>35.234660462463168</v>
      </c>
      <c r="AS30" s="195"/>
      <c r="AT30" s="227">
        <f>AR30*AW6</f>
        <v>26.425995346847376</v>
      </c>
      <c r="AU30" s="195"/>
      <c r="AV30" s="195"/>
      <c r="AW30" s="228">
        <f>AP30*AJ30*AN30</f>
        <v>13.983755871040069</v>
      </c>
    </row>
    <row r="31" spans="2:49" ht="15.65" customHeight="1" x14ac:dyDescent="0.35">
      <c r="B31" s="106"/>
      <c r="C31" s="106"/>
      <c r="D31" s="106"/>
      <c r="E31" s="106"/>
      <c r="F31" s="18"/>
      <c r="G31" s="18"/>
      <c r="H31" s="106"/>
      <c r="I31" s="106"/>
      <c r="J31" s="106"/>
      <c r="K31" s="106"/>
      <c r="AF31" s="214">
        <v>14</v>
      </c>
      <c r="AG31" s="234" t="s">
        <v>10</v>
      </c>
      <c r="AH31" s="213"/>
      <c r="AI31" s="214">
        <v>1</v>
      </c>
      <c r="AJ31" s="242">
        <f>AN49*AI31</f>
        <v>30</v>
      </c>
      <c r="AK31" s="239"/>
      <c r="AL31" s="214"/>
      <c r="AM31" s="234"/>
      <c r="AN31" s="234"/>
      <c r="AO31" s="230"/>
      <c r="AP31" s="243">
        <f>[1]Données!J17</f>
        <v>5.2847386943999999E-3</v>
      </c>
      <c r="AQ31" s="233">
        <f>[1]Données!H17</f>
        <v>0.34</v>
      </c>
      <c r="AR31" s="234"/>
      <c r="AS31" s="234"/>
      <c r="AT31" s="67"/>
      <c r="AU31" s="67"/>
      <c r="AV31" s="233">
        <f>AI31*AJ31*AQ31</f>
        <v>10.200000000000001</v>
      </c>
      <c r="AW31" s="235">
        <f>AJ31*AP32</f>
        <v>7.86104880792E-2</v>
      </c>
    </row>
    <row r="32" spans="2:49" ht="15.65" customHeight="1" x14ac:dyDescent="0.35">
      <c r="B32" s="106"/>
      <c r="C32" s="106"/>
      <c r="D32" s="106"/>
      <c r="E32" s="106"/>
      <c r="F32" s="18"/>
      <c r="G32" s="18"/>
      <c r="H32" s="106"/>
      <c r="I32" s="106"/>
      <c r="J32" s="106"/>
      <c r="K32" s="106"/>
      <c r="T32" s="106"/>
      <c r="U32" s="106"/>
      <c r="V32" s="106"/>
      <c r="W32" s="106"/>
      <c r="AF32" s="189">
        <v>15</v>
      </c>
      <c r="AG32" s="285" t="s">
        <v>12</v>
      </c>
      <c r="AH32" s="212"/>
      <c r="AI32" s="189">
        <f>IF(C42=1,1,0)</f>
        <v>1</v>
      </c>
      <c r="AJ32" s="242">
        <f>AN49*AI32</f>
        <v>30</v>
      </c>
      <c r="AK32" s="238"/>
      <c r="AL32" s="195"/>
      <c r="AM32" s="195"/>
      <c r="AN32" s="195"/>
      <c r="AO32" s="224"/>
      <c r="AP32" s="243">
        <f>[1]Données!J18</f>
        <v>2.6203496026400001E-3</v>
      </c>
      <c r="AQ32" s="244">
        <f>[1]Données!H18</f>
        <v>0.12</v>
      </c>
      <c r="AR32" s="195"/>
      <c r="AS32" s="195"/>
      <c r="AT32" s="195"/>
      <c r="AU32" s="195"/>
      <c r="AV32" s="227">
        <f>AI32*AJ32*AQ32</f>
        <v>3.5999999999999996</v>
      </c>
      <c r="AW32" s="228">
        <f>AI32*AJ32*AP33</f>
        <v>0.55093400889120003</v>
      </c>
    </row>
    <row r="33" spans="2:49" ht="15.65" customHeight="1" x14ac:dyDescent="0.35">
      <c r="B33" s="324" t="s">
        <v>221</v>
      </c>
      <c r="C33" s="106"/>
      <c r="D33" s="106"/>
      <c r="E33" s="106"/>
      <c r="F33" s="18"/>
      <c r="G33" s="18"/>
      <c r="H33" s="329" t="s">
        <v>151</v>
      </c>
      <c r="I33" s="106"/>
      <c r="J33" s="106"/>
      <c r="K33" s="106"/>
      <c r="N33" s="175" t="s">
        <v>218</v>
      </c>
      <c r="T33" s="98" t="s">
        <v>149</v>
      </c>
      <c r="Z33" s="98" t="s">
        <v>150</v>
      </c>
      <c r="AF33" s="214">
        <v>16</v>
      </c>
      <c r="AG33" s="286" t="s">
        <v>11</v>
      </c>
      <c r="AH33" s="213"/>
      <c r="AI33" s="214">
        <f>IF(C42=2,1,0)</f>
        <v>0</v>
      </c>
      <c r="AJ33" s="242">
        <f>AN49*AI33</f>
        <v>0</v>
      </c>
      <c r="AK33" s="239"/>
      <c r="AL33" s="214"/>
      <c r="AM33" s="245"/>
      <c r="AN33" s="234"/>
      <c r="AO33" s="230"/>
      <c r="AP33" s="243">
        <f>[1]Données!J19</f>
        <v>1.8364466963040001E-2</v>
      </c>
      <c r="AQ33" s="233">
        <f>[1]Données!H19</f>
        <v>0.2</v>
      </c>
      <c r="AR33" s="234"/>
      <c r="AS33" s="234"/>
      <c r="AT33" s="234"/>
      <c r="AU33" s="234"/>
      <c r="AV33" s="233">
        <f>AI33*AJ33*AQ33</f>
        <v>0</v>
      </c>
      <c r="AW33" s="235">
        <f>AI33*AJ33*AP34</f>
        <v>0</v>
      </c>
    </row>
    <row r="34" spans="2:49" ht="15.65" customHeight="1" x14ac:dyDescent="0.35">
      <c r="B34" s="106"/>
      <c r="C34" s="106"/>
      <c r="D34" s="106"/>
      <c r="E34" s="106"/>
      <c r="F34" s="18"/>
      <c r="G34" s="18"/>
      <c r="H34" s="106"/>
      <c r="I34" s="106"/>
      <c r="J34" s="106"/>
      <c r="K34" s="106"/>
      <c r="N34" s="106"/>
      <c r="O34" s="106"/>
      <c r="P34" s="106"/>
      <c r="Q34" s="106"/>
      <c r="AF34" s="189">
        <v>17</v>
      </c>
      <c r="AG34" s="195" t="s">
        <v>67</v>
      </c>
      <c r="AH34" s="195"/>
      <c r="AI34" s="189">
        <f xml:space="preserve"> IF(C42=2,1,0)</f>
        <v>0</v>
      </c>
      <c r="AJ34" s="242">
        <f>AN49*AI34</f>
        <v>0</v>
      </c>
      <c r="AK34" s="195"/>
      <c r="AL34" s="195"/>
      <c r="AM34" s="195"/>
      <c r="AN34" s="195"/>
      <c r="AO34" s="224"/>
      <c r="AP34" s="243">
        <f>[1]Données!J20</f>
        <v>4.8443438032000005E-3</v>
      </c>
      <c r="AQ34" s="244">
        <f>[1]Données!H20</f>
        <v>1.1000000000000001</v>
      </c>
      <c r="AR34" s="195"/>
      <c r="AS34" s="195"/>
      <c r="AT34" s="195"/>
      <c r="AU34" s="195"/>
      <c r="AV34" s="227">
        <f>AI34*AJ34*AQ34</f>
        <v>0</v>
      </c>
      <c r="AW34" s="228">
        <f>AI34*AJ34*AP34</f>
        <v>0</v>
      </c>
    </row>
    <row r="35" spans="2:49" ht="15.65" customHeight="1" x14ac:dyDescent="0.35">
      <c r="B35" s="106"/>
      <c r="C35" s="106"/>
      <c r="D35" s="106"/>
      <c r="E35" s="106"/>
      <c r="F35"/>
      <c r="G35"/>
      <c r="H35" s="106"/>
      <c r="I35" s="106"/>
      <c r="J35" s="106"/>
      <c r="K35" s="106"/>
      <c r="N35" s="106"/>
      <c r="O35" s="106"/>
      <c r="P35" s="106"/>
      <c r="Q35" s="106"/>
      <c r="AF35" s="214">
        <v>18</v>
      </c>
      <c r="AG35" s="234" t="s">
        <v>69</v>
      </c>
      <c r="AH35" s="234"/>
      <c r="AI35" s="234"/>
      <c r="AJ35" s="234"/>
      <c r="AK35" s="234">
        <f>((2*AK30)+(2*AM30))</f>
        <v>201.71850393700788</v>
      </c>
      <c r="AL35" s="234"/>
      <c r="AM35" s="234"/>
      <c r="AN35" s="234"/>
      <c r="AO35" s="215">
        <f>AK35/12</f>
        <v>16.80987532808399</v>
      </c>
      <c r="AP35" s="215">
        <f>AV10</f>
        <v>0.15</v>
      </c>
      <c r="AQ35" s="233">
        <f>AW10</f>
        <v>0.6</v>
      </c>
      <c r="AR35" s="234"/>
      <c r="AS35" s="234"/>
      <c r="AT35" s="234"/>
      <c r="AU35" s="234"/>
      <c r="AV35" s="234"/>
      <c r="AW35" s="235">
        <f>AO35*AP35</f>
        <v>2.5214812992125983</v>
      </c>
    </row>
    <row r="36" spans="2:49" ht="15.65" customHeight="1" x14ac:dyDescent="0.35">
      <c r="B36" s="158" t="s">
        <v>209</v>
      </c>
      <c r="C36" s="106"/>
      <c r="D36" s="106"/>
      <c r="E36" s="106"/>
      <c r="F36"/>
      <c r="G36"/>
      <c r="H36" s="105" t="s">
        <v>46</v>
      </c>
      <c r="I36" s="34" t="s">
        <v>108</v>
      </c>
      <c r="J36" s="168" t="s">
        <v>133</v>
      </c>
      <c r="K36" s="105" t="s">
        <v>76</v>
      </c>
      <c r="N36" s="105" t="s">
        <v>46</v>
      </c>
      <c r="O36" s="44" t="s">
        <v>108</v>
      </c>
      <c r="P36" s="105" t="s">
        <v>133</v>
      </c>
      <c r="Q36" s="105" t="s">
        <v>76</v>
      </c>
      <c r="T36" s="105" t="s">
        <v>46</v>
      </c>
      <c r="U36" s="44" t="s">
        <v>108</v>
      </c>
      <c r="V36" s="167" t="s">
        <v>133</v>
      </c>
      <c r="W36" s="105" t="s">
        <v>76</v>
      </c>
      <c r="Z36" s="105" t="s">
        <v>46</v>
      </c>
      <c r="AA36" s="44" t="s">
        <v>108</v>
      </c>
      <c r="AB36" s="168" t="s">
        <v>133</v>
      </c>
      <c r="AC36" s="105" t="s">
        <v>76</v>
      </c>
      <c r="AF36" s="187"/>
      <c r="AG36" s="187"/>
      <c r="AH36" s="187"/>
      <c r="AI36" s="187"/>
      <c r="AJ36" s="187"/>
      <c r="AK36" s="187"/>
      <c r="AL36" s="187"/>
      <c r="AM36" s="187"/>
      <c r="AN36" s="187"/>
      <c r="AO36" s="187"/>
      <c r="AP36" s="187"/>
      <c r="AQ36" s="187"/>
      <c r="AR36" s="187"/>
      <c r="AS36" s="54">
        <f>SUM(AS18:AS35)</f>
        <v>40.337299152585196</v>
      </c>
      <c r="AT36" s="55">
        <f>SUM(AT18:AT35)</f>
        <v>26.425995346847376</v>
      </c>
      <c r="AU36" s="55">
        <f>SUM(AU18:AU35)</f>
        <v>1.0300196850393701</v>
      </c>
      <c r="AV36" s="55">
        <f>SUM(AV18:AV35)</f>
        <v>18.68</v>
      </c>
      <c r="AW36" s="56">
        <f>SUM(AW18:AW35)</f>
        <v>57.748438714837725</v>
      </c>
    </row>
    <row r="37" spans="2:49" ht="15.65" customHeight="1" x14ac:dyDescent="0.35">
      <c r="B37" s="126" t="s">
        <v>173</v>
      </c>
      <c r="C37" s="325" t="str">
        <f>FIXED(Data!D7,0)</f>
        <v>18</v>
      </c>
      <c r="D37" s="106"/>
      <c r="E37" s="106"/>
      <c r="F37"/>
      <c r="G37"/>
      <c r="H37" s="142">
        <v>1</v>
      </c>
      <c r="I37" s="159">
        <v>2</v>
      </c>
      <c r="J37" s="87" t="s">
        <v>56</v>
      </c>
      <c r="K37" s="318" t="str">
        <f>TEXT(AK18*25.4,0) &amp;" mm"&amp;" × "&amp; TEXT(AM18 * 25.4,0) &amp;" mm "</f>
        <v xml:space="preserve">1219 mm × 254 mm </v>
      </c>
      <c r="N37" s="142">
        <v>8</v>
      </c>
      <c r="O37" s="159">
        <f>AJ25</f>
        <v>168</v>
      </c>
      <c r="P37" s="134" t="s">
        <v>139</v>
      </c>
      <c r="Q37" s="333" t="s">
        <v>181</v>
      </c>
      <c r="T37" s="142">
        <v>9</v>
      </c>
      <c r="U37" s="159">
        <v>8</v>
      </c>
      <c r="V37" s="135" t="s">
        <v>134</v>
      </c>
      <c r="W37" s="290" t="s">
        <v>203</v>
      </c>
      <c r="X37" s="12"/>
      <c r="Y37" s="12"/>
      <c r="Z37" s="142">
        <v>13</v>
      </c>
      <c r="AA37" s="159">
        <v>2</v>
      </c>
      <c r="AB37" s="87" t="s">
        <v>77</v>
      </c>
      <c r="AC37" s="313" t="str">
        <f>TEXT(AK30*25.4,0) &amp; " mm × " &amp; TEXT(AM30*25.4,0)&amp; " mm "</f>
        <v xml:space="preserve">1344 mm × 1217 mm </v>
      </c>
      <c r="AF37" s="60" t="s">
        <v>75</v>
      </c>
      <c r="AG37" s="60"/>
      <c r="AH37" s="60"/>
      <c r="AI37" s="60"/>
      <c r="AJ37" s="60"/>
      <c r="AK37" s="60"/>
      <c r="AL37" s="60"/>
      <c r="AM37" s="60"/>
      <c r="AN37" s="60"/>
      <c r="AO37" s="60"/>
    </row>
    <row r="38" spans="2:49" ht="15.65" customHeight="1" x14ac:dyDescent="0.35">
      <c r="B38" s="128" t="s">
        <v>174</v>
      </c>
      <c r="C38" s="118" t="str">
        <f>FIXED(Data!D8,0)</f>
        <v>16</v>
      </c>
      <c r="D38" s="106"/>
      <c r="E38" s="106"/>
      <c r="F38"/>
      <c r="G38"/>
      <c r="H38" s="142">
        <v>2</v>
      </c>
      <c r="I38" s="159">
        <v>4</v>
      </c>
      <c r="J38" s="87" t="s">
        <v>58</v>
      </c>
      <c r="K38" s="318" t="str">
        <f t="shared" ref="K38:K42" si="6">TEXT(AK19*25.4,0) &amp;" mm"&amp;" × "&amp; TEXT(AM19 * 25.4,0) &amp;" mm "</f>
        <v xml:space="preserve">1219 mm × 44 mm </v>
      </c>
      <c r="N38" s="124"/>
      <c r="O38" s="124"/>
      <c r="P38" s="124"/>
      <c r="Q38" s="124"/>
      <c r="T38" s="142">
        <v>10</v>
      </c>
      <c r="U38" s="159">
        <v>16</v>
      </c>
      <c r="V38" s="135" t="s">
        <v>135</v>
      </c>
      <c r="W38" s="291" t="s">
        <v>169</v>
      </c>
      <c r="X38" s="12"/>
      <c r="Y38" s="12"/>
      <c r="Z38" s="142">
        <v>14</v>
      </c>
      <c r="AA38" s="160">
        <f>AJ31</f>
        <v>30</v>
      </c>
      <c r="AB38" s="135" t="s">
        <v>135</v>
      </c>
      <c r="AC38" s="287" t="s">
        <v>232</v>
      </c>
      <c r="AF38" s="20" t="s">
        <v>46</v>
      </c>
      <c r="AG38" s="246"/>
      <c r="AH38" s="8" t="s">
        <v>154</v>
      </c>
      <c r="AI38" s="11" t="s">
        <v>32</v>
      </c>
      <c r="AJ38" s="8" t="s">
        <v>156</v>
      </c>
      <c r="AK38" s="8" t="s">
        <v>155</v>
      </c>
      <c r="AL38" s="8" t="s">
        <v>64</v>
      </c>
      <c r="AM38" s="8" t="s">
        <v>153</v>
      </c>
      <c r="AN38" s="8" t="s">
        <v>157</v>
      </c>
      <c r="AO38" s="8" t="s">
        <v>158</v>
      </c>
      <c r="AP38" s="8" t="s">
        <v>159</v>
      </c>
      <c r="AR38" s="23" t="s">
        <v>17</v>
      </c>
      <c r="AS38" s="45"/>
      <c r="AT38" s="28"/>
    </row>
    <row r="39" spans="2:49" ht="15.65" customHeight="1" x14ac:dyDescent="0.35">
      <c r="B39" s="106"/>
      <c r="C39" s="106"/>
      <c r="D39" s="106"/>
      <c r="E39" s="106"/>
      <c r="F39"/>
      <c r="G39"/>
      <c r="H39" s="142">
        <v>3</v>
      </c>
      <c r="I39" s="159">
        <v>2</v>
      </c>
      <c r="J39" s="87" t="s">
        <v>59</v>
      </c>
      <c r="K39" s="318" t="str">
        <f t="shared" si="6"/>
        <v xml:space="preserve">217 mm × 44 mm </v>
      </c>
      <c r="N39" s="61" t="s">
        <v>140</v>
      </c>
      <c r="O39" s="124"/>
      <c r="P39" s="106"/>
      <c r="Q39" s="124"/>
      <c r="T39" s="142">
        <v>11</v>
      </c>
      <c r="U39" s="159">
        <v>8</v>
      </c>
      <c r="V39" s="135" t="s">
        <v>136</v>
      </c>
      <c r="W39" s="292" t="s">
        <v>204</v>
      </c>
      <c r="Z39" s="161">
        <v>15</v>
      </c>
      <c r="AA39" s="162">
        <f>AJ32</f>
        <v>30</v>
      </c>
      <c r="AB39" s="81" t="s">
        <v>12</v>
      </c>
      <c r="AC39" s="288" t="s">
        <v>233</v>
      </c>
      <c r="AF39" s="195" t="s">
        <v>61</v>
      </c>
      <c r="AG39" s="195"/>
      <c r="AH39" s="189" t="s">
        <v>22</v>
      </c>
      <c r="AI39" s="197">
        <f>AK21</f>
        <v>47.92962598425197</v>
      </c>
      <c r="AJ39" s="194">
        <f>AI39-3</f>
        <v>44.92962598425197</v>
      </c>
      <c r="AK39" s="194">
        <f>QUOTIENT(AJ39,6)</f>
        <v>7</v>
      </c>
      <c r="AL39" s="247">
        <f>AK39+1</f>
        <v>8</v>
      </c>
      <c r="AM39" s="248">
        <f>IF(AK39=0,0,AJ39/AK39)</f>
        <v>6.4185179977502811</v>
      </c>
      <c r="AN39" s="189">
        <f>AL39</f>
        <v>8</v>
      </c>
      <c r="AO39" s="238">
        <v>4</v>
      </c>
      <c r="AP39" s="249">
        <f>AN39*AO39</f>
        <v>32</v>
      </c>
      <c r="AR39" s="189" t="s">
        <v>22</v>
      </c>
      <c r="AS39" s="250">
        <f>AM39</f>
        <v>6.4185179977502811</v>
      </c>
      <c r="AT39" s="189" t="s">
        <v>23</v>
      </c>
    </row>
    <row r="40" spans="2:49" ht="15.65" customHeight="1" x14ac:dyDescent="0.35">
      <c r="B40" s="158" t="s">
        <v>172</v>
      </c>
      <c r="C40" s="106"/>
      <c r="D40" s="106"/>
      <c r="E40" s="106"/>
      <c r="H40" s="142">
        <v>4</v>
      </c>
      <c r="I40" s="159">
        <v>2</v>
      </c>
      <c r="J40" s="87" t="s">
        <v>60</v>
      </c>
      <c r="K40" s="318" t="str">
        <f t="shared" si="6"/>
        <v xml:space="preserve">1217 mm × 254 mm </v>
      </c>
      <c r="N40" s="174" t="s">
        <v>22</v>
      </c>
      <c r="O40" s="107"/>
      <c r="P40" s="312" t="str">
        <f>TEXT(AS39*25.4,0) &amp; " mm"</f>
        <v>163 mm</v>
      </c>
      <c r="Q40" s="106"/>
      <c r="T40" s="161">
        <v>12</v>
      </c>
      <c r="U40" s="162">
        <f>C41*3</f>
        <v>12</v>
      </c>
      <c r="V40" s="137" t="s">
        <v>137</v>
      </c>
      <c r="W40" s="293" t="s">
        <v>182</v>
      </c>
      <c r="Z40" s="142">
        <v>16</v>
      </c>
      <c r="AA40" s="160">
        <f>AJ33</f>
        <v>0</v>
      </c>
      <c r="AB40" s="140" t="s">
        <v>11</v>
      </c>
      <c r="AC40" s="287" t="s">
        <v>234</v>
      </c>
      <c r="AD40" s="12"/>
      <c r="AE40" s="12"/>
      <c r="AF40" s="251" t="s">
        <v>58</v>
      </c>
      <c r="AG40" s="251"/>
      <c r="AH40" s="252" t="s">
        <v>26</v>
      </c>
      <c r="AI40" s="253">
        <f>AK19</f>
        <v>47.99212598425197</v>
      </c>
      <c r="AJ40" s="253">
        <f>AI40-3.5</f>
        <v>44.49212598425197</v>
      </c>
      <c r="AK40" s="253">
        <f>QUOTIENT(AJ40,6)</f>
        <v>7</v>
      </c>
      <c r="AL40" s="254">
        <f>AK40+1</f>
        <v>8</v>
      </c>
      <c r="AM40" s="254">
        <f>IF(AK40=0,0,AJ40/AK40)</f>
        <v>6.3560179977502811</v>
      </c>
      <c r="AN40" s="255">
        <f>AL40</f>
        <v>8</v>
      </c>
      <c r="AO40" s="256">
        <v>4</v>
      </c>
      <c r="AP40" s="255">
        <f>AN40*AO40</f>
        <v>32</v>
      </c>
      <c r="AR40" s="214" t="s">
        <v>26</v>
      </c>
      <c r="AS40" s="250">
        <f>AM40</f>
        <v>6.3560179977502811</v>
      </c>
      <c r="AT40" s="214" t="s">
        <v>27</v>
      </c>
    </row>
    <row r="41" spans="2:49" ht="15.65" customHeight="1" x14ac:dyDescent="0.35">
      <c r="B41" s="128" t="s">
        <v>49</v>
      </c>
      <c r="C41" s="326">
        <v>4</v>
      </c>
      <c r="D41" s="106"/>
      <c r="E41" s="106"/>
      <c r="H41" s="142">
        <v>5</v>
      </c>
      <c r="I41" s="159">
        <v>4</v>
      </c>
      <c r="J41" s="87" t="s">
        <v>61</v>
      </c>
      <c r="K41" s="318" t="str">
        <f t="shared" si="6"/>
        <v xml:space="preserve">1217 mm × 44 mm </v>
      </c>
      <c r="N41" s="174" t="s">
        <v>26</v>
      </c>
      <c r="O41" s="107"/>
      <c r="P41" s="312" t="str">
        <f t="shared" ref="P41" si="7">TEXT(AS40*25.4,0) &amp; " mm"</f>
        <v>161 mm</v>
      </c>
      <c r="Q41" s="106"/>
      <c r="T41" s="106"/>
      <c r="U41" s="106"/>
      <c r="V41" s="106"/>
      <c r="W41" s="106"/>
      <c r="Z41" s="142">
        <v>17</v>
      </c>
      <c r="AA41" s="160">
        <f>AJ34</f>
        <v>0</v>
      </c>
      <c r="AB41" s="135" t="s">
        <v>138</v>
      </c>
      <c r="AC41" s="287" t="s">
        <v>235</v>
      </c>
      <c r="AD41" s="12"/>
      <c r="AE41" s="12"/>
      <c r="AF41" s="195" t="s">
        <v>62</v>
      </c>
      <c r="AG41" s="195"/>
      <c r="AH41" s="249" t="s">
        <v>30</v>
      </c>
      <c r="AI41" s="194">
        <f>AK23</f>
        <v>8.5625</v>
      </c>
      <c r="AJ41" s="194">
        <f>AI41-(2*$AI$5)</f>
        <v>7.125</v>
      </c>
      <c r="AK41" s="194">
        <f>QUOTIENT(AJ41,6)</f>
        <v>1</v>
      </c>
      <c r="AL41" s="247">
        <f>AK41+1</f>
        <v>2</v>
      </c>
      <c r="AM41" s="248">
        <f t="shared" ref="AM41:AM42" si="8">IF(AK41=0,0,AJ41/AK41)</f>
        <v>7.125</v>
      </c>
      <c r="AN41" s="240">
        <f>AL41+4</f>
        <v>6</v>
      </c>
      <c r="AO41" s="240">
        <f>AJ23</f>
        <v>16</v>
      </c>
      <c r="AP41" s="189">
        <f>AN41*AO41</f>
        <v>96</v>
      </c>
      <c r="AR41" s="189" t="s">
        <v>30</v>
      </c>
      <c r="AS41" s="250">
        <f>AM41</f>
        <v>7.125</v>
      </c>
      <c r="AT41" s="195"/>
    </row>
    <row r="42" spans="2:49" ht="15.65" customHeight="1" x14ac:dyDescent="0.35">
      <c r="B42" s="146" t="s">
        <v>187</v>
      </c>
      <c r="C42" s="326">
        <v>1</v>
      </c>
      <c r="D42" s="106"/>
      <c r="E42" s="106"/>
      <c r="H42" s="142">
        <v>6</v>
      </c>
      <c r="I42" s="160">
        <f>AJ23</f>
        <v>16</v>
      </c>
      <c r="J42" s="87" t="s">
        <v>62</v>
      </c>
      <c r="K42" s="318" t="str">
        <f t="shared" si="6"/>
        <v xml:space="preserve">217 mm × 44 mm </v>
      </c>
      <c r="N42" s="174" t="s">
        <v>30</v>
      </c>
      <c r="O42" s="107"/>
      <c r="P42" s="312" t="str">
        <f>TEXT(AS41*25.4,0) &amp; " mm"</f>
        <v>181 mm</v>
      </c>
      <c r="Q42" s="106"/>
      <c r="T42" s="106"/>
      <c r="U42" s="106"/>
      <c r="V42" s="106"/>
      <c r="W42" s="106"/>
      <c r="Z42" s="161">
        <v>18</v>
      </c>
      <c r="AA42" s="169">
        <f>AK35*25.4</f>
        <v>5123.6499999999996</v>
      </c>
      <c r="AB42" s="141" t="s">
        <v>109</v>
      </c>
      <c r="AC42" s="289" t="str">
        <f>TEXT(AK35*25.4,0) &amp; " mm × 75 mm "</f>
        <v xml:space="preserve">5124 mm × 75 mm </v>
      </c>
      <c r="AD42" s="12"/>
      <c r="AE42" s="12"/>
      <c r="AF42" s="251" t="s">
        <v>59</v>
      </c>
      <c r="AG42" s="251"/>
      <c r="AH42" s="251"/>
      <c r="AI42" s="257">
        <f>AK20</f>
        <v>8.5625</v>
      </c>
      <c r="AJ42" s="253">
        <f>AI42-(2*$AI$5)</f>
        <v>7.125</v>
      </c>
      <c r="AK42" s="253">
        <f>QUOTIENT(AJ42,6)</f>
        <v>1</v>
      </c>
      <c r="AL42" s="254">
        <v>4</v>
      </c>
      <c r="AM42" s="254">
        <f t="shared" si="8"/>
        <v>7.125</v>
      </c>
      <c r="AN42" s="258">
        <f>AL42</f>
        <v>4</v>
      </c>
      <c r="AO42" s="256">
        <v>2</v>
      </c>
      <c r="AP42" s="255">
        <f>AN42*AO42</f>
        <v>8</v>
      </c>
      <c r="AR42" s="214" t="s">
        <v>38</v>
      </c>
      <c r="AS42" s="250">
        <f>AM46</f>
        <v>7.3113751406074243</v>
      </c>
      <c r="AT42" s="214" t="s">
        <v>27</v>
      </c>
    </row>
    <row r="43" spans="2:49" ht="15.65" customHeight="1" x14ac:dyDescent="0.35">
      <c r="B43" s="106"/>
      <c r="C43" s="106"/>
      <c r="D43" s="106"/>
      <c r="E43" s="106"/>
      <c r="H43" s="161">
        <v>7</v>
      </c>
      <c r="I43" s="162">
        <f>AJ24</f>
        <v>4</v>
      </c>
      <c r="J43" s="133" t="s">
        <v>148</v>
      </c>
      <c r="K43" s="319" t="str">
        <f xml:space="preserve"> "51 mm × 51 mm × "&amp;TEXT(AM24*25.4,0)  &amp; " mm "</f>
        <v xml:space="preserve">51 mm × 51 mm × 182 mm </v>
      </c>
      <c r="N43" s="106"/>
      <c r="O43" s="106"/>
      <c r="P43" s="106"/>
      <c r="Q43" s="106"/>
      <c r="T43" s="106"/>
      <c r="U43" s="106"/>
      <c r="V43" s="106"/>
      <c r="W43" s="106"/>
      <c r="Z43" s="124"/>
      <c r="AA43" s="124"/>
      <c r="AB43" s="106"/>
      <c r="AC43" s="106"/>
      <c r="AR43" s="189" t="s">
        <v>40</v>
      </c>
      <c r="AS43" s="250">
        <f>AM47</f>
        <v>7.696604330708662</v>
      </c>
      <c r="AT43" s="189" t="s">
        <v>23</v>
      </c>
    </row>
    <row r="44" spans="2:49" ht="15.65" customHeight="1" x14ac:dyDescent="0.35">
      <c r="B44" s="158" t="s">
        <v>185</v>
      </c>
      <c r="C44" s="106"/>
      <c r="D44" s="106"/>
      <c r="E44" s="106"/>
      <c r="H44" s="106"/>
      <c r="I44" s="106"/>
      <c r="J44" s="106"/>
      <c r="K44" s="106"/>
      <c r="N44" s="106"/>
      <c r="O44" s="106"/>
      <c r="P44" s="106"/>
      <c r="Q44" s="106"/>
      <c r="T44" s="106"/>
      <c r="U44" s="106"/>
      <c r="V44" s="106"/>
      <c r="W44" s="106"/>
      <c r="Z44" s="158" t="s">
        <v>176</v>
      </c>
      <c r="AA44" s="106"/>
      <c r="AB44" s="106"/>
      <c r="AC44" s="106"/>
      <c r="AF44" s="60" t="s">
        <v>78</v>
      </c>
      <c r="AG44" s="60"/>
      <c r="AH44" s="60"/>
      <c r="AI44" s="60"/>
      <c r="AJ44" s="60"/>
      <c r="AK44" s="60"/>
      <c r="AL44" s="60"/>
      <c r="AM44" s="60"/>
      <c r="AN44" s="60"/>
      <c r="AO44" s="187"/>
    </row>
    <row r="45" spans="2:49" ht="15.65" customHeight="1" x14ac:dyDescent="0.35">
      <c r="B45" s="84" t="s">
        <v>100</v>
      </c>
      <c r="C45" s="327">
        <v>1219</v>
      </c>
      <c r="D45" s="106"/>
      <c r="E45" s="106"/>
      <c r="H45" s="158" t="s">
        <v>176</v>
      </c>
      <c r="I45" s="106"/>
      <c r="J45" s="106"/>
      <c r="K45" s="106"/>
      <c r="N45" s="106"/>
      <c r="O45" s="106"/>
      <c r="P45" s="106"/>
      <c r="Q45" s="106"/>
      <c r="T45" s="106"/>
      <c r="U45" s="106"/>
      <c r="V45" s="106"/>
      <c r="W45" s="106"/>
      <c r="Z45" s="128" t="s">
        <v>175</v>
      </c>
      <c r="AA45" s="107"/>
      <c r="AB45" s="130" t="str">
        <f>TEXT(AG61/10.764,0) &amp; " m" &amp; _xlfn.UNICHAR(178)</f>
        <v>3 m²</v>
      </c>
      <c r="AC45" s="124"/>
      <c r="AF45" s="28" t="s">
        <v>79</v>
      </c>
      <c r="AG45" s="8" t="s">
        <v>154</v>
      </c>
      <c r="AH45" s="8"/>
      <c r="AI45" s="8" t="s">
        <v>32</v>
      </c>
      <c r="AJ45" s="105" t="s">
        <v>156</v>
      </c>
      <c r="AK45" s="105" t="s">
        <v>155</v>
      </c>
      <c r="AL45" s="105" t="s">
        <v>35</v>
      </c>
      <c r="AM45" s="8" t="s">
        <v>36</v>
      </c>
      <c r="AN45" s="8" t="s">
        <v>64</v>
      </c>
    </row>
    <row r="46" spans="2:49" ht="15.65" customHeight="1" x14ac:dyDescent="0.35">
      <c r="B46" s="84" t="s">
        <v>101</v>
      </c>
      <c r="C46" s="327">
        <v>1092</v>
      </c>
      <c r="D46" s="106"/>
      <c r="E46" s="106"/>
      <c r="H46" s="128" t="s">
        <v>1</v>
      </c>
      <c r="I46" s="320"/>
      <c r="J46" s="130" t="str">
        <f>TEXT(AG60/10.764,0) &amp; " m" &amp; _xlfn.UNICHAR(178)</f>
        <v>2 m²</v>
      </c>
      <c r="K46" s="106"/>
      <c r="N46" s="106"/>
      <c r="O46" s="106"/>
      <c r="P46" s="106"/>
      <c r="Q46" s="106"/>
      <c r="T46" s="138"/>
      <c r="U46" s="106"/>
      <c r="V46" s="106"/>
      <c r="W46" s="106"/>
      <c r="Z46" s="106"/>
      <c r="AA46" s="106"/>
      <c r="AB46" s="124"/>
      <c r="AC46" s="124"/>
      <c r="AF46" s="259" t="s">
        <v>27</v>
      </c>
      <c r="AG46" s="189" t="s">
        <v>38</v>
      </c>
      <c r="AH46" s="255"/>
      <c r="AI46" s="260">
        <f>AK30</f>
        <v>52.92962598425197</v>
      </c>
      <c r="AJ46" s="260">
        <f>AI46-1.75</f>
        <v>51.17962598425197</v>
      </c>
      <c r="AK46" s="253">
        <f>QUOTIENT(AJ46,8)</f>
        <v>6</v>
      </c>
      <c r="AL46" s="261">
        <f>AK46+1</f>
        <v>7</v>
      </c>
      <c r="AM46" s="253">
        <f>AJ46/AL46</f>
        <v>7.3113751406074243</v>
      </c>
      <c r="AN46" s="258">
        <f>AL46*2</f>
        <v>14</v>
      </c>
    </row>
    <row r="47" spans="2:49" ht="15.65" customHeight="1" x14ac:dyDescent="0.35">
      <c r="B47" s="129" t="s">
        <v>102</v>
      </c>
      <c r="C47" s="327">
        <v>254</v>
      </c>
      <c r="D47" s="106"/>
      <c r="E47" s="106"/>
      <c r="H47" s="106"/>
      <c r="I47" s="106"/>
      <c r="J47" s="106"/>
      <c r="K47" s="106"/>
      <c r="N47" s="106"/>
      <c r="O47" s="106"/>
      <c r="P47" s="106"/>
      <c r="Q47" s="106"/>
      <c r="T47" s="106"/>
      <c r="U47" s="139"/>
      <c r="V47" s="106"/>
      <c r="W47" s="106"/>
      <c r="Z47" s="170" t="s">
        <v>141</v>
      </c>
      <c r="AA47" s="124"/>
      <c r="AB47" s="106"/>
      <c r="AC47" s="106"/>
      <c r="AF47" s="212" t="s">
        <v>23</v>
      </c>
      <c r="AG47" s="189" t="s">
        <v>40</v>
      </c>
      <c r="AH47" s="189"/>
      <c r="AI47" s="262">
        <f>AM30</f>
        <v>47.92962598425197</v>
      </c>
      <c r="AJ47" s="224">
        <f>AI47-1.75</f>
        <v>46.17962598425197</v>
      </c>
      <c r="AK47" s="194">
        <f>QUOTIENT(AJ47,8)</f>
        <v>5</v>
      </c>
      <c r="AL47" s="263">
        <f>AK47+1</f>
        <v>6</v>
      </c>
      <c r="AM47" s="197">
        <f>AJ47/AL47</f>
        <v>7.696604330708662</v>
      </c>
      <c r="AN47" s="240">
        <f>AL47*2</f>
        <v>12</v>
      </c>
    </row>
    <row r="48" spans="2:49" ht="15.65" customHeight="1" x14ac:dyDescent="0.35">
      <c r="B48" s="106"/>
      <c r="C48" s="106"/>
      <c r="D48" s="106"/>
      <c r="E48" s="106"/>
      <c r="H48" s="106"/>
      <c r="I48" s="106"/>
      <c r="J48" s="106"/>
      <c r="K48" s="106"/>
      <c r="Z48" s="171" t="s">
        <v>38</v>
      </c>
      <c r="AA48" s="107"/>
      <c r="AB48" s="142" t="str">
        <f>TEXT(AS42*25.4,0) &amp; " mm"</f>
        <v>186 mm</v>
      </c>
      <c r="AC48" s="106"/>
      <c r="AF48" s="212" t="s">
        <v>80</v>
      </c>
      <c r="AG48" s="264"/>
      <c r="AH48" s="189"/>
      <c r="AI48" s="195"/>
      <c r="AJ48" s="195"/>
      <c r="AK48" s="195"/>
      <c r="AL48" s="195"/>
      <c r="AM48" s="195"/>
      <c r="AN48" s="189">
        <v>4</v>
      </c>
      <c r="AO48" s="187"/>
      <c r="AQ48" s="265"/>
      <c r="AR48" s="187"/>
      <c r="AS48" s="187"/>
      <c r="AT48" s="187"/>
      <c r="AU48" s="187"/>
      <c r="AV48" s="187"/>
      <c r="AW48" s="187"/>
    </row>
    <row r="49" spans="2:49" ht="15.65" customHeight="1" x14ac:dyDescent="0.35">
      <c r="B49" s="158" t="s">
        <v>186</v>
      </c>
      <c r="C49" s="106"/>
      <c r="D49" s="106"/>
      <c r="E49" s="106"/>
      <c r="F49" s="79"/>
      <c r="G49" s="79"/>
      <c r="H49" s="106"/>
      <c r="I49" s="106"/>
      <c r="J49" s="106"/>
      <c r="K49" s="106"/>
      <c r="Z49" s="171" t="s">
        <v>40</v>
      </c>
      <c r="AA49" s="107"/>
      <c r="AB49" s="142" t="str">
        <f>TEXT(AS43*25.4,0) &amp; " mm"</f>
        <v>195 mm</v>
      </c>
      <c r="AC49" s="106"/>
      <c r="AD49" s="12"/>
      <c r="AE49" s="12"/>
      <c r="AF49" s="187"/>
      <c r="AG49" s="187"/>
      <c r="AH49" s="187"/>
      <c r="AI49" s="187"/>
      <c r="AJ49" s="187"/>
      <c r="AK49" s="187"/>
      <c r="AL49" s="187"/>
      <c r="AM49" s="266" t="s">
        <v>37</v>
      </c>
      <c r="AN49" s="267">
        <f>SUM(AN46:AN48)</f>
        <v>30</v>
      </c>
      <c r="AO49" s="187"/>
      <c r="AQ49" s="265"/>
      <c r="AR49" s="187"/>
      <c r="AS49" s="187"/>
      <c r="AT49" s="187"/>
      <c r="AU49" s="187"/>
      <c r="AV49" s="187"/>
      <c r="AW49" s="187"/>
    </row>
    <row r="50" spans="2:49" ht="15.65" customHeight="1" x14ac:dyDescent="0.35">
      <c r="B50" s="335" t="s">
        <v>103</v>
      </c>
      <c r="C50" s="328" t="str">
        <f>TEXT(AL5*25.4,0)</f>
        <v>1351</v>
      </c>
      <c r="D50" s="106"/>
      <c r="E50" s="106"/>
      <c r="F50" s="19"/>
      <c r="G50" s="19"/>
      <c r="H50" s="106"/>
      <c r="I50" s="106"/>
      <c r="J50" s="106"/>
      <c r="K50" s="106"/>
      <c r="Z50" s="106"/>
      <c r="AA50" s="106"/>
      <c r="AB50" s="106"/>
      <c r="AC50" s="106"/>
      <c r="AF50" s="23" t="s">
        <v>163</v>
      </c>
      <c r="AG50" s="225">
        <f>[1]Données!J28</f>
        <v>28</v>
      </c>
      <c r="AK50" s="187"/>
      <c r="AQ50" s="187"/>
      <c r="AT50" s="187"/>
    </row>
    <row r="51" spans="2:49" ht="15.65" customHeight="1" x14ac:dyDescent="0.35">
      <c r="B51" s="84" t="s">
        <v>104</v>
      </c>
      <c r="C51" s="328" t="str">
        <f>TEXT(AK6*25.4,0)</f>
        <v>1217</v>
      </c>
      <c r="D51" s="106"/>
      <c r="E51" s="106"/>
      <c r="F51" s="79"/>
      <c r="G51" s="79"/>
      <c r="H51" s="106"/>
      <c r="I51" s="106"/>
      <c r="J51" s="106"/>
      <c r="K51" s="106"/>
      <c r="N51" s="106"/>
      <c r="O51" s="106"/>
      <c r="P51" s="106"/>
      <c r="Q51" s="106"/>
      <c r="T51" s="106"/>
      <c r="U51" s="106"/>
      <c r="V51" s="106"/>
      <c r="W51" s="106"/>
      <c r="Z51" s="106"/>
      <c r="AA51" s="106"/>
      <c r="AB51" s="106"/>
      <c r="AC51" s="106"/>
      <c r="AK51" s="187"/>
      <c r="AQ51" s="187"/>
      <c r="AT51" s="187"/>
    </row>
    <row r="52" spans="2:49" ht="15.65" customHeight="1" x14ac:dyDescent="0.35">
      <c r="B52" s="84" t="s">
        <v>110</v>
      </c>
      <c r="C52" s="328" t="str">
        <f>TEXT(AK7*25.4,0)</f>
        <v>286</v>
      </c>
      <c r="D52" s="106"/>
      <c r="E52" s="106"/>
      <c r="F52" s="79"/>
      <c r="G52" s="79"/>
      <c r="H52" s="106"/>
      <c r="I52" s="106"/>
      <c r="J52" s="106"/>
      <c r="K52" s="106"/>
      <c r="N52" s="106"/>
      <c r="O52" s="106"/>
      <c r="P52" s="106"/>
      <c r="Q52" s="106"/>
      <c r="T52" s="106"/>
      <c r="U52" s="106"/>
      <c r="V52" s="106"/>
      <c r="W52" s="106"/>
      <c r="Z52" s="106"/>
      <c r="AA52" s="106"/>
      <c r="AB52" s="106"/>
      <c r="AC52" s="106"/>
      <c r="AF52" s="23" t="s">
        <v>165</v>
      </c>
      <c r="AG52" s="11"/>
      <c r="AH52" s="8" t="s">
        <v>162</v>
      </c>
      <c r="AI52" s="8" t="s">
        <v>72</v>
      </c>
      <c r="AJ52" s="8" t="s">
        <v>164</v>
      </c>
      <c r="AK52" s="187"/>
      <c r="AQ52" s="187"/>
      <c r="AT52" s="187"/>
      <c r="AW52" s="187"/>
    </row>
    <row r="53" spans="2:49" ht="15.65" customHeight="1" x14ac:dyDescent="0.35">
      <c r="B53" s="106"/>
      <c r="C53" s="106"/>
      <c r="D53" s="106"/>
      <c r="E53" s="106"/>
      <c r="F53" s="100"/>
      <c r="G53" s="100"/>
      <c r="H53" s="106"/>
      <c r="I53" s="106"/>
      <c r="J53" s="106"/>
      <c r="K53" s="106"/>
      <c r="N53" s="106"/>
      <c r="O53" s="106"/>
      <c r="P53" s="106"/>
      <c r="Q53" s="106"/>
      <c r="T53" s="106"/>
      <c r="U53" s="106"/>
      <c r="V53" s="106"/>
      <c r="W53" s="106"/>
      <c r="Z53" s="106"/>
      <c r="AA53" s="106"/>
      <c r="AB53" s="106"/>
      <c r="AC53" s="106"/>
      <c r="AF53" s="189" t="s">
        <v>48</v>
      </c>
      <c r="AG53" s="189"/>
      <c r="AH53" s="227">
        <f>AG50</f>
        <v>28</v>
      </c>
      <c r="AI53" s="268">
        <f>[1]Données!J29</f>
        <v>4</v>
      </c>
      <c r="AJ53" s="227">
        <f>AH53*AI53</f>
        <v>112</v>
      </c>
      <c r="AK53" s="187"/>
      <c r="AQ53" s="187"/>
      <c r="AT53" s="187"/>
      <c r="AW53" s="187"/>
    </row>
    <row r="54" spans="2:49" ht="15.5" x14ac:dyDescent="0.35">
      <c r="B54" s="158" t="s">
        <v>219</v>
      </c>
      <c r="C54" s="106"/>
      <c r="D54" s="106"/>
      <c r="E54" s="106"/>
      <c r="F54" s="100"/>
      <c r="G54" s="100"/>
      <c r="H54" s="106"/>
      <c r="I54" s="106"/>
      <c r="J54" s="106"/>
      <c r="K54" s="106"/>
      <c r="N54" s="106"/>
      <c r="O54" s="106"/>
      <c r="P54" s="106"/>
      <c r="Q54" s="106"/>
      <c r="T54" s="106"/>
      <c r="U54" s="106"/>
      <c r="V54" s="106"/>
      <c r="W54" s="106"/>
      <c r="Z54" s="106"/>
      <c r="AA54" s="106"/>
      <c r="AB54" s="106"/>
      <c r="AC54" s="106"/>
      <c r="AF54" s="214" t="s">
        <v>74</v>
      </c>
      <c r="AG54" s="214"/>
      <c r="AH54" s="233">
        <f>AG50</f>
        <v>28</v>
      </c>
      <c r="AI54" s="269">
        <f>[1]Données!J30</f>
        <v>0.5</v>
      </c>
      <c r="AJ54" s="227">
        <f t="shared" ref="AJ54:AJ55" si="9">AH54*AI54</f>
        <v>14</v>
      </c>
      <c r="AK54" s="187"/>
      <c r="AQ54" s="187"/>
      <c r="AR54" s="187"/>
      <c r="AS54" s="187"/>
      <c r="AT54" s="187"/>
      <c r="AW54" s="187"/>
    </row>
    <row r="55" spans="2:49" ht="15.5" x14ac:dyDescent="0.35">
      <c r="B55" s="176" t="s">
        <v>52</v>
      </c>
      <c r="C55" s="130" t="str">
        <f>FIXED(AW36/2.2,0)</f>
        <v>26</v>
      </c>
      <c r="D55" s="106"/>
      <c r="E55" s="106"/>
      <c r="F55" s="101"/>
      <c r="G55" s="101"/>
      <c r="H55" s="106"/>
      <c r="I55" s="106"/>
      <c r="J55" s="124"/>
      <c r="K55" s="124"/>
      <c r="L55" s="12"/>
      <c r="M55" s="12"/>
      <c r="N55" s="125"/>
      <c r="O55" s="124"/>
      <c r="P55" s="106"/>
      <c r="Q55" s="122"/>
      <c r="R55" s="80"/>
      <c r="S55" s="80"/>
      <c r="T55" s="106"/>
      <c r="U55" s="106"/>
      <c r="V55" s="106"/>
      <c r="W55" s="106"/>
      <c r="Z55" s="106"/>
      <c r="AA55" s="106"/>
      <c r="AB55" s="106"/>
      <c r="AC55" s="106"/>
      <c r="AF55" s="189" t="s">
        <v>49</v>
      </c>
      <c r="AG55" s="189"/>
      <c r="AH55" s="227">
        <f>AG50</f>
        <v>28</v>
      </c>
      <c r="AI55" s="268">
        <f>[1]Données!J31</f>
        <v>0.5</v>
      </c>
      <c r="AJ55" s="227">
        <f t="shared" si="9"/>
        <v>14</v>
      </c>
      <c r="AK55" s="187"/>
      <c r="AL55" s="187"/>
      <c r="AM55" s="187"/>
      <c r="AN55" s="187"/>
      <c r="AO55" s="187"/>
      <c r="AP55" s="187"/>
      <c r="AQ55" s="187"/>
      <c r="AR55" s="187"/>
      <c r="AS55" s="187"/>
      <c r="AW55" s="187"/>
    </row>
    <row r="56" spans="2:49" ht="15.5" x14ac:dyDescent="0.35">
      <c r="B56" s="106"/>
      <c r="C56" s="106"/>
      <c r="D56" s="106"/>
      <c r="E56" s="106"/>
      <c r="F56" s="79"/>
      <c r="G56" s="79"/>
      <c r="H56" s="106"/>
      <c r="I56" s="106"/>
      <c r="J56" s="124"/>
      <c r="K56" s="330"/>
      <c r="L56" s="12"/>
      <c r="M56" s="12"/>
      <c r="N56" s="106"/>
      <c r="O56" s="106"/>
      <c r="P56" s="106"/>
      <c r="Q56" s="106"/>
      <c r="T56" s="106"/>
      <c r="U56" s="106"/>
      <c r="V56" s="106"/>
      <c r="W56" s="106"/>
      <c r="Z56" s="106"/>
      <c r="AA56" s="106"/>
      <c r="AB56" s="106"/>
      <c r="AC56" s="106"/>
      <c r="AF56" s="187"/>
      <c r="AG56" s="187"/>
      <c r="AI56" s="64" t="s">
        <v>37</v>
      </c>
      <c r="AJ56" s="227">
        <f>SUM(AJ53:AJ55)</f>
        <v>140</v>
      </c>
      <c r="AK56" s="187"/>
      <c r="AQ56" s="187"/>
      <c r="AR56" s="187"/>
      <c r="AS56" s="187"/>
      <c r="AW56" s="187"/>
    </row>
    <row r="57" spans="2:49" ht="15.5" x14ac:dyDescent="0.35">
      <c r="B57" s="61" t="s">
        <v>105</v>
      </c>
      <c r="C57" s="173"/>
      <c r="D57" s="106"/>
      <c r="E57" s="106"/>
      <c r="F57" s="79"/>
      <c r="G57" s="79"/>
      <c r="H57" s="106"/>
      <c r="I57" s="106"/>
      <c r="J57" s="124"/>
      <c r="K57" s="124"/>
      <c r="L57" s="12"/>
      <c r="M57" s="12"/>
      <c r="N57" s="106"/>
      <c r="O57" s="106"/>
      <c r="P57" s="106"/>
      <c r="Q57" s="106"/>
      <c r="T57" s="106"/>
      <c r="U57" s="106"/>
      <c r="V57" s="106"/>
      <c r="W57" s="106"/>
      <c r="Z57" s="106"/>
      <c r="AA57" s="106"/>
      <c r="AB57" s="106"/>
      <c r="AC57" s="106"/>
      <c r="AF57" s="187"/>
      <c r="AG57" s="187"/>
      <c r="AH57" s="187"/>
      <c r="AI57" s="187"/>
      <c r="AJ57" s="187"/>
      <c r="AS57" s="187"/>
      <c r="AW57" s="187"/>
    </row>
    <row r="58" spans="2:49" ht="15.5" x14ac:dyDescent="0.35">
      <c r="B58" s="87" t="s">
        <v>50</v>
      </c>
      <c r="C58" s="131">
        <f>AG64</f>
        <v>67.793314184471939</v>
      </c>
      <c r="D58" s="106"/>
      <c r="E58" s="106"/>
      <c r="H58" s="106"/>
      <c r="I58" s="106"/>
      <c r="J58" s="124"/>
      <c r="K58" s="124"/>
      <c r="L58" s="12"/>
      <c r="M58" s="12"/>
      <c r="N58" s="106"/>
      <c r="O58" s="106"/>
      <c r="P58" s="106"/>
      <c r="Q58" s="106"/>
      <c r="T58" s="106"/>
      <c r="U58" s="106"/>
      <c r="V58" s="106"/>
      <c r="W58" s="106"/>
      <c r="Z58" s="106"/>
      <c r="AA58" s="106"/>
      <c r="AB58" s="106"/>
      <c r="AC58" s="106"/>
      <c r="AF58" s="270" t="s">
        <v>166</v>
      </c>
      <c r="AG58" s="107"/>
      <c r="AS58" s="187"/>
      <c r="AT58" s="61"/>
      <c r="AW58" s="187"/>
    </row>
    <row r="59" spans="2:49" ht="15.5" x14ac:dyDescent="0.35">
      <c r="B59" s="132" t="s">
        <v>70</v>
      </c>
      <c r="C59" s="131">
        <f t="shared" ref="C59:C61" si="10">AG65</f>
        <v>18.68</v>
      </c>
      <c r="D59" s="106"/>
      <c r="E59" s="106"/>
      <c r="H59" s="106"/>
      <c r="I59" s="106"/>
      <c r="J59" s="106"/>
      <c r="K59" s="106"/>
      <c r="N59" s="106"/>
      <c r="O59" s="106"/>
      <c r="P59" s="106"/>
      <c r="Q59" s="106"/>
      <c r="T59" s="106"/>
      <c r="U59" s="106"/>
      <c r="V59" s="106"/>
      <c r="W59" s="106"/>
      <c r="Z59" s="106"/>
      <c r="AA59" s="106"/>
      <c r="AB59" s="106"/>
      <c r="AC59" s="106"/>
      <c r="AF59" s="46"/>
      <c r="AG59" s="52" t="s">
        <v>54</v>
      </c>
      <c r="AW59" s="187"/>
    </row>
    <row r="60" spans="2:49" ht="15.5" x14ac:dyDescent="0.35">
      <c r="B60" s="177" t="s">
        <v>73</v>
      </c>
      <c r="C60" s="131">
        <f t="shared" si="10"/>
        <v>140</v>
      </c>
      <c r="D60" s="106"/>
      <c r="E60" s="106"/>
      <c r="H60" s="106"/>
      <c r="I60" s="106"/>
      <c r="J60" s="106"/>
      <c r="K60" s="106"/>
      <c r="N60" s="106"/>
      <c r="O60" s="106"/>
      <c r="P60" s="106"/>
      <c r="Q60" s="106"/>
      <c r="T60" s="106"/>
      <c r="U60" s="106"/>
      <c r="V60" s="106"/>
      <c r="W60" s="106"/>
      <c r="Z60" s="106"/>
      <c r="AA60" s="106"/>
      <c r="AB60" s="106"/>
      <c r="AC60" s="106"/>
      <c r="AF60" s="271" t="s">
        <v>1</v>
      </c>
      <c r="AG60" s="58">
        <f>SUM(AR18:AR23)</f>
        <v>19.858362659734251</v>
      </c>
      <c r="AW60" s="187"/>
    </row>
    <row r="61" spans="2:49" ht="15.5" x14ac:dyDescent="0.35">
      <c r="B61" s="176" t="s">
        <v>37</v>
      </c>
      <c r="C61" s="131">
        <f t="shared" si="10"/>
        <v>226.47331418447195</v>
      </c>
      <c r="D61" s="106"/>
      <c r="E61" s="106"/>
      <c r="H61" s="106"/>
      <c r="I61" s="106"/>
      <c r="J61" s="106"/>
      <c r="K61" s="106"/>
      <c r="N61" s="106"/>
      <c r="O61" s="106"/>
      <c r="P61" s="106"/>
      <c r="Q61" s="106"/>
      <c r="T61" s="106"/>
      <c r="U61" s="106"/>
      <c r="V61" s="106"/>
      <c r="W61" s="106"/>
      <c r="Z61" s="106"/>
      <c r="AA61" s="106"/>
      <c r="AB61" s="106"/>
      <c r="AC61" s="106"/>
      <c r="AF61" s="272" t="s">
        <v>2</v>
      </c>
      <c r="AG61" s="59">
        <f>AR30</f>
        <v>35.234660462463168</v>
      </c>
      <c r="AW61" s="187"/>
    </row>
    <row r="62" spans="2:49" ht="15.5" x14ac:dyDescent="0.35">
      <c r="B62" s="106"/>
      <c r="C62" s="106"/>
      <c r="D62" s="106"/>
      <c r="E62" s="106"/>
      <c r="H62" s="106"/>
      <c r="I62" s="106"/>
      <c r="J62" s="106"/>
      <c r="K62" s="106"/>
      <c r="N62" s="106"/>
      <c r="O62" s="106"/>
      <c r="P62" s="106"/>
      <c r="Q62" s="106"/>
      <c r="T62" s="106"/>
      <c r="U62" s="106"/>
      <c r="V62" s="106"/>
      <c r="W62" s="106"/>
      <c r="Z62" s="106"/>
      <c r="AA62" s="106"/>
      <c r="AB62" s="106"/>
      <c r="AC62" s="106"/>
      <c r="AW62" s="187"/>
    </row>
    <row r="63" spans="2:49" ht="15.5" x14ac:dyDescent="0.35">
      <c r="H63" s="106"/>
      <c r="I63" s="106"/>
      <c r="J63" s="106"/>
      <c r="K63" s="106"/>
      <c r="L63" s="15"/>
      <c r="M63" s="15"/>
      <c r="N63" s="106"/>
      <c r="O63" s="106"/>
      <c r="P63" s="106"/>
      <c r="Q63" s="106"/>
      <c r="T63" s="106"/>
      <c r="U63" s="106"/>
      <c r="V63" s="106"/>
      <c r="W63" s="106"/>
      <c r="Z63" s="106"/>
      <c r="AA63" s="106"/>
      <c r="AB63" s="106"/>
      <c r="AC63" s="106"/>
      <c r="AF63" s="20" t="s">
        <v>226</v>
      </c>
      <c r="AG63" s="246"/>
      <c r="AW63" s="187"/>
    </row>
    <row r="64" spans="2:49" ht="15.65" customHeight="1" x14ac:dyDescent="0.35">
      <c r="B64" s="302"/>
      <c r="C64" s="302"/>
      <c r="D64" s="302"/>
      <c r="E64" s="302"/>
      <c r="H64" s="302"/>
      <c r="I64" s="302"/>
      <c r="J64" s="302"/>
      <c r="K64" s="302"/>
      <c r="L64" s="121"/>
      <c r="M64" s="121"/>
      <c r="N64" s="302"/>
      <c r="O64" s="302"/>
      <c r="P64" s="302"/>
      <c r="Q64" s="302"/>
      <c r="T64" s="302"/>
      <c r="U64" s="302"/>
      <c r="V64" s="302"/>
      <c r="W64" s="302"/>
      <c r="Z64" s="106"/>
      <c r="AA64" s="106"/>
      <c r="AB64" s="106"/>
      <c r="AC64" s="106"/>
      <c r="AF64" s="195" t="s">
        <v>217</v>
      </c>
      <c r="AG64" s="273">
        <f>SUM(AS36:AU36)</f>
        <v>67.793314184471939</v>
      </c>
      <c r="AW64" s="187"/>
    </row>
    <row r="65" spans="2:49" ht="15.65" customHeight="1" x14ac:dyDescent="0.35">
      <c r="B65" s="301" t="s">
        <v>123</v>
      </c>
      <c r="C65" s="302"/>
      <c r="D65" s="302"/>
      <c r="E65" s="302"/>
      <c r="H65" s="301" t="s">
        <v>160</v>
      </c>
      <c r="I65" s="309"/>
      <c r="J65" s="309"/>
      <c r="K65" s="309"/>
      <c r="L65" s="12"/>
      <c r="M65" s="12"/>
      <c r="N65" s="301" t="s">
        <v>161</v>
      </c>
      <c r="O65" s="309"/>
      <c r="P65" s="309"/>
      <c r="Q65" s="309"/>
      <c r="T65" s="301" t="s">
        <v>183</v>
      </c>
      <c r="U65" s="309"/>
      <c r="V65" s="309"/>
      <c r="W65" s="309"/>
      <c r="Z65" s="106"/>
      <c r="AA65" s="106"/>
      <c r="AB65" s="106"/>
      <c r="AC65" s="106"/>
      <c r="AF65" s="195" t="s">
        <v>51</v>
      </c>
      <c r="AG65" s="274">
        <f>AV36</f>
        <v>18.68</v>
      </c>
      <c r="AW65" s="187"/>
    </row>
    <row r="66" spans="2:49" ht="15.65" customHeight="1" x14ac:dyDescent="0.35">
      <c r="B66" s="303" t="s">
        <v>207</v>
      </c>
      <c r="C66" s="302"/>
      <c r="D66" s="302"/>
      <c r="E66" s="302"/>
      <c r="H66" s="336" t="s">
        <v>238</v>
      </c>
      <c r="I66" s="309"/>
      <c r="J66" s="309"/>
      <c r="K66" s="309"/>
      <c r="N66" s="311" t="s">
        <v>215</v>
      </c>
      <c r="O66" s="309"/>
      <c r="P66" s="309"/>
      <c r="Q66" s="309"/>
      <c r="T66" s="307" t="s">
        <v>216</v>
      </c>
      <c r="U66" s="309"/>
      <c r="V66" s="309"/>
      <c r="W66" s="309"/>
      <c r="AF66" s="275" t="s">
        <v>73</v>
      </c>
      <c r="AG66" s="274">
        <f>AJ56</f>
        <v>140</v>
      </c>
      <c r="AW66" s="187"/>
    </row>
    <row r="67" spans="2:49" ht="15.65" customHeight="1" x14ac:dyDescent="0.35">
      <c r="B67" s="302"/>
      <c r="C67" s="302"/>
      <c r="D67" s="302"/>
      <c r="E67" s="302"/>
      <c r="H67" s="310" t="s">
        <v>168</v>
      </c>
      <c r="I67" s="309"/>
      <c r="J67" s="309"/>
      <c r="K67" s="309"/>
      <c r="N67" s="302"/>
      <c r="O67" s="302"/>
      <c r="P67" s="302"/>
      <c r="Q67" s="302"/>
      <c r="T67" s="302"/>
      <c r="U67" s="302"/>
      <c r="V67" s="302"/>
      <c r="W67" s="302"/>
      <c r="AF67" s="195" t="s">
        <v>68</v>
      </c>
      <c r="AG67" s="274">
        <f>SUM(AS36:AV36)+AJ56</f>
        <v>226.47331418447195</v>
      </c>
      <c r="AW67" s="187"/>
    </row>
    <row r="68" spans="2:49" ht="15.65" customHeight="1" x14ac:dyDescent="0.35">
      <c r="B68" s="301" t="s">
        <v>106</v>
      </c>
      <c r="C68" s="302"/>
      <c r="D68" s="302"/>
      <c r="E68" s="302"/>
      <c r="H68" s="302"/>
      <c r="I68" s="302"/>
      <c r="J68" s="302"/>
      <c r="K68" s="302"/>
      <c r="AW68" s="187"/>
    </row>
    <row r="69" spans="2:49" ht="15.65" customHeight="1" x14ac:dyDescent="0.35">
      <c r="B69" s="302" t="s">
        <v>177</v>
      </c>
      <c r="C69" s="302"/>
      <c r="D69" s="302"/>
      <c r="E69" s="302"/>
      <c r="L69" s="12"/>
      <c r="M69" s="12"/>
      <c r="AF69" s="15" t="s">
        <v>227</v>
      </c>
      <c r="AR69" s="61"/>
      <c r="AS69" s="187"/>
      <c r="AT69" s="61"/>
      <c r="AW69" s="187"/>
    </row>
    <row r="70" spans="2:49" ht="15.65" customHeight="1" x14ac:dyDescent="0.35">
      <c r="B70" s="302" t="s">
        <v>179</v>
      </c>
      <c r="C70" s="302"/>
      <c r="D70" s="302"/>
      <c r="E70" s="302"/>
      <c r="L70" s="12"/>
      <c r="M70" s="12"/>
      <c r="AF70" s="195" t="s">
        <v>52</v>
      </c>
      <c r="AG70" s="276">
        <f>SUM(AW18:AW35)</f>
        <v>57.748438714837725</v>
      </c>
      <c r="AR70" s="61"/>
      <c r="AS70" s="187"/>
      <c r="AT70" s="61"/>
      <c r="AW70" s="187"/>
    </row>
    <row r="71" spans="2:49" ht="15.65" customHeight="1" x14ac:dyDescent="0.35">
      <c r="B71" s="303" t="s">
        <v>202</v>
      </c>
      <c r="C71" s="302"/>
      <c r="D71" s="302"/>
      <c r="E71" s="302"/>
      <c r="L71" s="12"/>
      <c r="M71" s="12"/>
    </row>
    <row r="72" spans="2:49" ht="15.65" customHeight="1" x14ac:dyDescent="0.35">
      <c r="B72" s="302"/>
      <c r="C72" s="302"/>
      <c r="D72" s="302"/>
      <c r="E72" s="302"/>
      <c r="L72" s="12"/>
      <c r="M72" s="12"/>
    </row>
    <row r="73" spans="2:49" ht="15.65" customHeight="1" x14ac:dyDescent="0.35">
      <c r="B73" s="301" t="s">
        <v>107</v>
      </c>
      <c r="C73" s="302"/>
      <c r="D73" s="302"/>
      <c r="E73" s="302"/>
    </row>
    <row r="74" spans="2:49" ht="15.65" customHeight="1" x14ac:dyDescent="0.35">
      <c r="B74" s="302" t="s">
        <v>126</v>
      </c>
      <c r="C74" s="302"/>
      <c r="D74" s="302"/>
      <c r="E74" s="302"/>
    </row>
    <row r="75" spans="2:49" ht="15.65" customHeight="1" x14ac:dyDescent="0.35">
      <c r="B75" s="302" t="s">
        <v>180</v>
      </c>
      <c r="C75" s="302"/>
      <c r="D75" s="302"/>
      <c r="E75" s="302"/>
    </row>
    <row r="76" spans="2:49" ht="15.65" customHeight="1" x14ac:dyDescent="0.35">
      <c r="B76" s="303" t="s">
        <v>202</v>
      </c>
      <c r="C76" s="302"/>
      <c r="D76" s="302"/>
      <c r="E76" s="302"/>
    </row>
    <row r="77" spans="2:49" ht="15.65" customHeight="1" x14ac:dyDescent="0.35">
      <c r="B77" s="303" t="s">
        <v>198</v>
      </c>
      <c r="C77" s="302"/>
      <c r="D77" s="302"/>
      <c r="E77" s="302"/>
    </row>
    <row r="78" spans="2:49" ht="15.65" customHeight="1" x14ac:dyDescent="0.35">
      <c r="B78" s="307" t="s">
        <v>214</v>
      </c>
      <c r="C78" s="302"/>
      <c r="D78" s="302"/>
      <c r="E78" s="302"/>
    </row>
    <row r="79" spans="2:49" ht="15.65" customHeight="1" x14ac:dyDescent="0.35">
      <c r="B79" s="302"/>
      <c r="C79" s="302"/>
      <c r="D79" s="302"/>
      <c r="E79" s="302"/>
    </row>
    <row r="80" spans="2:49" ht="15.65" customHeight="1" x14ac:dyDescent="0.35">
      <c r="B80" s="301" t="s">
        <v>183</v>
      </c>
      <c r="C80" s="302"/>
      <c r="D80" s="302"/>
      <c r="E80" s="302"/>
    </row>
    <row r="81" spans="1:5" ht="15.5" x14ac:dyDescent="0.35">
      <c r="B81" s="307" t="s">
        <v>213</v>
      </c>
      <c r="C81" s="302"/>
      <c r="D81" s="302"/>
      <c r="E81" s="302"/>
    </row>
    <row r="82" spans="1:5" ht="15.5" x14ac:dyDescent="0.35">
      <c r="B82" s="302"/>
      <c r="C82" s="302"/>
      <c r="D82" s="302"/>
      <c r="E82" s="302"/>
    </row>
    <row r="83" spans="1:5" ht="15.5" x14ac:dyDescent="0.35">
      <c r="A83" s="332"/>
      <c r="B83" s="332"/>
      <c r="C83" s="332"/>
      <c r="D83" s="332"/>
      <c r="E83" s="332"/>
    </row>
  </sheetData>
  <sheetProtection algorithmName="SHA-512" hashValue="Iu+dmPukgK/pDMw3bLbwlmKal9aJMxQyyrVqvgJgZilPw9hEFfdmcmEb2RB3HJOgu/+ACXofzudowzzQ0m6j0g==" saltValue="ZdK8UiccHfothrWF4lLyvA==" spinCount="100000" sheet="1" objects="1" selectLockedCells="1"/>
  <protectedRanges>
    <protectedRange sqref="C37:C38" name="Range1_1"/>
    <protectedRange sqref="C41:C42 C45:C47" name="Range2_1"/>
  </protectedRanges>
  <dataValidations count="5">
    <dataValidation type="decimal" errorStyle="warning" allowBlank="1" showErrorMessage="1" errorTitle="Dimension" error="Suggested range:_x000a_Minimum 140 mm_x000a_Maximum 2438 mm" sqref="C47" xr:uid="{CB7A6478-F3DE-46B0-AB12-FA9225872268}">
      <formula1>140</formula1>
      <formula2>2438</formula2>
    </dataValidation>
    <dataValidation type="decimal" errorStyle="warning" allowBlank="1" showErrorMessage="1" errorTitle="Dimension" error="Minimum 305 mm_x000a_Maximum 2438 mm" sqref="C46" xr:uid="{B525D557-97A0-4770-AC85-BC8164D37B36}">
      <formula1>305</formula1>
      <formula2>2438</formula2>
    </dataValidation>
    <dataValidation type="decimal" errorStyle="warning" allowBlank="1" showErrorMessage="1" errorTitle="Dimension " error="Minimum 305 mm_x000a_Maximum 2438 mm" sqref="C45" xr:uid="{B654D4FB-80C1-4D28-BCA4-C4ECA049B4F6}">
      <formula1>305</formula1>
      <formula2>2438</formula2>
    </dataValidation>
    <dataValidation type="list" allowBlank="1" showInputMessage="1" showErrorMessage="1" sqref="C41" xr:uid="{73196528-A348-4687-95FE-FD8E7906BDF4}">
      <formula1>$AP$4:$AP$9</formula1>
    </dataValidation>
    <dataValidation type="list" allowBlank="1" showInputMessage="1" showErrorMessage="1" sqref="C42" xr:uid="{295375FC-423F-4555-8B98-D3F06564C8F1}">
      <formula1>$AR$4:$AR$5</formula1>
    </dataValidation>
  </dataValidations>
  <printOptions horizontalCentered="1"/>
  <pageMargins left="0.25" right="0.25" top="0.75" bottom="0.75" header="0.3" footer="0.3"/>
  <pageSetup scale="68" fitToWidth="0" pageOrder="overThenDown" orientation="portrait" r:id="rId1"/>
  <headerFooter>
    <oddHeader>&amp;L&amp;"Arial,Regular"&amp;12Channel Crate Design Tool&amp;C&amp;"Arial,Regular"&amp;12CCI Note 20/1&amp;R&amp;"Arial,Regular"&amp;12Canadian Conservation Institute</oddHeader>
    <oddFooter xml:space="preserve">&amp;C </oddFooter>
  </headerFooter>
  <colBreaks count="6" manualBreakCount="6">
    <brk id="6" max="1048575" man="1"/>
    <brk id="12" max="1048575" man="1"/>
    <brk id="18" max="1048575" man="1"/>
    <brk id="24" max="1048575" man="1"/>
    <brk id="30" max="1048575" man="1"/>
    <brk id="3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104"/>
  <sheetViews>
    <sheetView showGridLines="0" showRowColHeaders="0" zoomScale="80" zoomScaleNormal="80" zoomScaleSheetLayoutView="40" zoomScalePageLayoutView="70" workbookViewId="0">
      <selection activeCell="C42" sqref="C42"/>
    </sheetView>
  </sheetViews>
  <sheetFormatPr defaultColWidth="0" defaultRowHeight="14.5" zeroHeight="1" x14ac:dyDescent="0.35"/>
  <cols>
    <col min="1" max="1" width="2.54296875" customWidth="1"/>
    <col min="2" max="5" width="30.54296875" customWidth="1"/>
    <col min="6" max="7" width="2.54296875" style="80" customWidth="1"/>
    <col min="8" max="11" width="30.54296875" customWidth="1"/>
    <col min="12" max="13" width="2.54296875" customWidth="1"/>
    <col min="14" max="17" width="30.54296875" customWidth="1"/>
    <col min="18" max="19" width="2.54296875" customWidth="1"/>
    <col min="20" max="23" width="30.54296875" customWidth="1"/>
    <col min="24" max="25" width="2.54296875" customWidth="1"/>
    <col min="26" max="29" width="30.54296875" customWidth="1"/>
    <col min="30" max="30" width="4" customWidth="1"/>
    <col min="31" max="32" width="16.7265625" hidden="1" customWidth="1"/>
    <col min="33" max="33" width="11.26953125" hidden="1" customWidth="1"/>
    <col min="34" max="36" width="16.7265625" hidden="1" customWidth="1"/>
    <col min="37" max="37" width="13.54296875" hidden="1" customWidth="1"/>
    <col min="38" max="39" width="16.7265625" hidden="1" customWidth="1"/>
    <col min="40" max="40" width="15.453125" hidden="1" customWidth="1"/>
    <col min="41" max="47" width="16.7265625" hidden="1" customWidth="1"/>
    <col min="48" max="48" width="22.54296875" hidden="1" customWidth="1"/>
    <col min="49" max="49" width="8.7265625" hidden="1" customWidth="1"/>
    <col min="50" max="50" width="22.54296875" hidden="1" customWidth="1"/>
    <col min="51" max="53" width="8.7265625" hidden="1" customWidth="1"/>
    <col min="54" max="16384" width="16.7265625" hidden="1"/>
  </cols>
  <sheetData>
    <row r="1" spans="2:48" x14ac:dyDescent="0.35"/>
    <row r="2" spans="2:48" ht="30" customHeight="1" x14ac:dyDescent="0.35">
      <c r="B2" s="143" t="s">
        <v>14</v>
      </c>
      <c r="C2" s="144"/>
      <c r="D2" s="144"/>
      <c r="E2" s="144"/>
      <c r="F2" s="122"/>
      <c r="G2" s="122"/>
      <c r="H2" s="143" t="s">
        <v>84</v>
      </c>
      <c r="I2" s="144"/>
      <c r="J2" s="144"/>
      <c r="K2" s="144"/>
      <c r="L2" s="106"/>
      <c r="M2" s="106"/>
      <c r="N2" s="143" t="s">
        <v>66</v>
      </c>
      <c r="O2" s="144"/>
      <c r="P2" s="144"/>
      <c r="Q2" s="144"/>
      <c r="R2" s="106"/>
      <c r="S2" s="106"/>
      <c r="T2" s="143" t="s">
        <v>15</v>
      </c>
      <c r="U2" s="144"/>
      <c r="V2" s="144"/>
      <c r="W2" s="144"/>
      <c r="X2" s="106"/>
      <c r="Y2" s="106"/>
      <c r="Z2" s="143" t="s">
        <v>65</v>
      </c>
      <c r="AA2" s="144"/>
      <c r="AB2" s="144"/>
      <c r="AC2" s="144"/>
      <c r="AD2" s="106"/>
    </row>
    <row r="3" spans="2:48" ht="15.65" customHeight="1" x14ac:dyDescent="0.35">
      <c r="C3" s="5"/>
      <c r="AK3" s="49" t="s">
        <v>90</v>
      </c>
      <c r="AO3" s="28" t="s">
        <v>18</v>
      </c>
      <c r="AQ3" s="28" t="s">
        <v>19</v>
      </c>
      <c r="AT3" s="90" t="s">
        <v>167</v>
      </c>
      <c r="AU3" s="185"/>
      <c r="AV3" s="186"/>
    </row>
    <row r="4" spans="2:48" ht="15.65" customHeight="1" x14ac:dyDescent="0.35">
      <c r="B4" s="4"/>
      <c r="C4" s="5"/>
      <c r="AE4" s="33" t="s">
        <v>16</v>
      </c>
      <c r="AF4" s="34"/>
      <c r="AG4" s="44"/>
      <c r="AH4" s="8" t="s">
        <v>82</v>
      </c>
      <c r="AI4" s="28" t="s">
        <v>81</v>
      </c>
      <c r="AJ4" s="28"/>
      <c r="AK4" s="46" t="s">
        <v>89</v>
      </c>
      <c r="AM4" s="187"/>
      <c r="AN4" s="187"/>
      <c r="AO4" s="189">
        <v>0</v>
      </c>
      <c r="AQ4" s="189">
        <v>1</v>
      </c>
      <c r="AS4" s="187"/>
      <c r="AT4" s="190"/>
      <c r="AU4" s="21" t="s">
        <v>85</v>
      </c>
      <c r="AV4" s="21" t="s">
        <v>86</v>
      </c>
    </row>
    <row r="5" spans="2:48" ht="15.65" customHeight="1" x14ac:dyDescent="0.35">
      <c r="AE5" s="195" t="s">
        <v>20</v>
      </c>
      <c r="AF5" s="195"/>
      <c r="AG5" s="197">
        <f>C46</f>
        <v>48</v>
      </c>
      <c r="AH5" s="194">
        <f>Data!E7</f>
        <v>0.71875</v>
      </c>
      <c r="AI5" s="195" t="s">
        <v>21</v>
      </c>
      <c r="AJ5" s="194">
        <f>AG5+(1.75*2)+(2*$AH$5)</f>
        <v>52.9375</v>
      </c>
      <c r="AK5" s="196">
        <f>IF(C42&gt;0,AJ5+0.25,AJ5)</f>
        <v>53.1875</v>
      </c>
      <c r="AM5" s="187"/>
      <c r="AN5" s="187"/>
      <c r="AO5" s="189">
        <v>4</v>
      </c>
      <c r="AQ5" s="189">
        <v>2</v>
      </c>
      <c r="AS5" s="187"/>
      <c r="AT5" s="64" t="s">
        <v>1</v>
      </c>
      <c r="AU5" s="197">
        <f>Data!G7/(Data!K7/12*Data!L7/12)</f>
        <v>1.90625</v>
      </c>
      <c r="AV5" s="198">
        <f>Data!H7/(Data!K7/12*Data!L7/12)</f>
        <v>2.03125</v>
      </c>
    </row>
    <row r="6" spans="2:48" ht="15.65" customHeight="1" x14ac:dyDescent="0.35">
      <c r="AE6" s="234" t="s">
        <v>24</v>
      </c>
      <c r="AF6" s="234"/>
      <c r="AG6" s="197">
        <f>C47</f>
        <v>43</v>
      </c>
      <c r="AH6" s="67" t="s">
        <v>83</v>
      </c>
      <c r="AI6" s="201" t="s">
        <v>25</v>
      </c>
      <c r="AJ6" s="202">
        <f>AG6+(2*$AH$5)+(2*1.75)</f>
        <v>47.9375</v>
      </c>
      <c r="AK6" s="187"/>
      <c r="AM6" s="187"/>
      <c r="AN6" s="187"/>
      <c r="AO6" s="189">
        <v>6</v>
      </c>
      <c r="AS6" s="187"/>
      <c r="AT6" s="64" t="s">
        <v>2</v>
      </c>
      <c r="AU6" s="197">
        <f>Data!G8/(Data!K8/12*Data!L8/12)</f>
        <v>0.39687499999999998</v>
      </c>
      <c r="AV6" s="198">
        <f>Data!H8/(Data!K8/12*Data!L8/12)</f>
        <v>0.75</v>
      </c>
    </row>
    <row r="7" spans="2:48" ht="15.65" customHeight="1" x14ac:dyDescent="0.35">
      <c r="AE7" s="195" t="s">
        <v>28</v>
      </c>
      <c r="AF7" s="195"/>
      <c r="AG7" s="197">
        <f>C48</f>
        <v>10</v>
      </c>
      <c r="AH7" s="194">
        <f>Data!E8</f>
        <v>0.625</v>
      </c>
      <c r="AI7" s="201" t="s">
        <v>29</v>
      </c>
      <c r="AJ7" s="202">
        <f>AG7+(2*$AH$7)</f>
        <v>11.25</v>
      </c>
      <c r="AK7" s="187"/>
      <c r="AM7" s="187"/>
      <c r="AN7" s="187"/>
      <c r="AO7" s="189">
        <v>8</v>
      </c>
      <c r="AS7" s="187"/>
      <c r="AU7" s="187"/>
      <c r="AV7" s="187"/>
    </row>
    <row r="8" spans="2:48" ht="15.65" customHeight="1" x14ac:dyDescent="0.35">
      <c r="B8" s="4"/>
      <c r="H8" s="3"/>
      <c r="I8" s="3"/>
      <c r="J8" s="3"/>
      <c r="K8" s="3"/>
      <c r="L8" s="3"/>
      <c r="M8" s="3"/>
      <c r="AE8" s="187"/>
      <c r="AF8" s="187"/>
      <c r="AG8" s="187"/>
      <c r="AH8" s="187"/>
      <c r="AI8" s="187"/>
      <c r="AJ8" s="205"/>
      <c r="AK8" s="206"/>
      <c r="AL8" s="187"/>
      <c r="AM8" s="187"/>
      <c r="AO8" s="189">
        <v>10</v>
      </c>
      <c r="AQ8" s="64" t="s">
        <v>229</v>
      </c>
      <c r="AS8" s="187"/>
      <c r="AT8" s="64" t="s">
        <v>98</v>
      </c>
      <c r="AU8" s="21" t="s">
        <v>91</v>
      </c>
      <c r="AV8" s="21" t="s">
        <v>92</v>
      </c>
    </row>
    <row r="9" spans="2:48" ht="15.65" customHeight="1" x14ac:dyDescent="0.35">
      <c r="H9" s="3"/>
      <c r="I9" s="3"/>
      <c r="J9" s="3"/>
      <c r="K9" s="3"/>
      <c r="L9" s="3"/>
      <c r="M9" s="3"/>
      <c r="AE9" s="23" t="s">
        <v>31</v>
      </c>
      <c r="AF9" s="45"/>
      <c r="AG9" s="45"/>
      <c r="AH9" s="45"/>
      <c r="AI9" s="45"/>
      <c r="AJ9" s="45"/>
      <c r="AK9" s="45"/>
      <c r="AL9" s="45"/>
      <c r="AM9" s="48"/>
      <c r="AO9" s="189">
        <v>12</v>
      </c>
      <c r="AQ9" s="281">
        <v>6.25E-2</v>
      </c>
      <c r="AS9" s="187"/>
      <c r="AT9" s="104" t="s">
        <v>63</v>
      </c>
      <c r="AU9" s="208">
        <f>Data!J24/Data!H24</f>
        <v>0.625</v>
      </c>
      <c r="AV9" s="209">
        <f>Data!F24/Data!H24</f>
        <v>0.43125000000000002</v>
      </c>
    </row>
    <row r="10" spans="2:48" ht="15.65" customHeight="1" x14ac:dyDescent="0.35">
      <c r="H10" s="3"/>
      <c r="I10" s="3"/>
      <c r="J10" s="3"/>
      <c r="K10" s="3"/>
      <c r="L10" s="3"/>
      <c r="M10" s="3"/>
      <c r="AE10" s="189"/>
      <c r="AF10" s="189"/>
      <c r="AG10" s="189"/>
      <c r="AH10" s="8" t="s">
        <v>32</v>
      </c>
      <c r="AI10" s="8" t="s">
        <v>33</v>
      </c>
      <c r="AJ10" s="8" t="s">
        <v>34</v>
      </c>
      <c r="AK10" s="8" t="s">
        <v>35</v>
      </c>
      <c r="AL10" s="8" t="s">
        <v>36</v>
      </c>
      <c r="AM10" s="8" t="s">
        <v>37</v>
      </c>
      <c r="AN10" s="187"/>
      <c r="AQ10" s="281">
        <v>3.125E-2</v>
      </c>
      <c r="AS10" s="187"/>
      <c r="AT10" s="77" t="s">
        <v>13</v>
      </c>
      <c r="AU10" s="210">
        <f>Data!J25/Data!H25</f>
        <v>0.15</v>
      </c>
      <c r="AV10" s="211">
        <f>Data!F25/Data!H25</f>
        <v>0.6</v>
      </c>
    </row>
    <row r="11" spans="2:48" ht="15.65" customHeight="1" x14ac:dyDescent="0.35">
      <c r="H11" s="3"/>
      <c r="I11" s="3"/>
      <c r="J11" s="3"/>
      <c r="K11" s="3"/>
      <c r="L11" s="3"/>
      <c r="M11" s="3"/>
      <c r="AE11" s="212" t="s">
        <v>39</v>
      </c>
      <c r="AF11" s="189"/>
      <c r="AG11" s="189"/>
      <c r="AH11" s="197">
        <f>AJ18</f>
        <v>48</v>
      </c>
      <c r="AI11" s="194">
        <f>AH11-AH5</f>
        <v>47.28125</v>
      </c>
      <c r="AJ11" s="197">
        <f>QUOTIENT(AI11,20)</f>
        <v>2</v>
      </c>
      <c r="AK11" s="197">
        <f>AJ11+2</f>
        <v>4</v>
      </c>
      <c r="AL11" s="197">
        <f>AI11/(AK11+1)</f>
        <v>9.4562500000000007</v>
      </c>
      <c r="AM11" s="189">
        <f>AK11</f>
        <v>4</v>
      </c>
      <c r="AN11" s="187"/>
      <c r="AS11" s="187"/>
      <c r="AT11" s="187"/>
      <c r="AU11" s="187"/>
      <c r="AV11" s="187"/>
    </row>
    <row r="12" spans="2:48" ht="15.65" customHeight="1" x14ac:dyDescent="0.35">
      <c r="H12" s="3"/>
      <c r="I12" s="3"/>
      <c r="J12" s="3"/>
      <c r="K12" s="3"/>
      <c r="L12" s="3"/>
      <c r="M12" s="3"/>
      <c r="AE12" s="213" t="s">
        <v>41</v>
      </c>
      <c r="AF12" s="214"/>
      <c r="AG12" s="214"/>
      <c r="AH12" s="215">
        <f>AJ21</f>
        <v>47.9375</v>
      </c>
      <c r="AI12" s="215">
        <f>AH12-((1.5*2)+(2*AH5))</f>
        <v>43.5</v>
      </c>
      <c r="AJ12" s="215">
        <f>QUOTIENT(AI12,20)</f>
        <v>2</v>
      </c>
      <c r="AK12" s="215">
        <f>AJ12+2</f>
        <v>4</v>
      </c>
      <c r="AL12" s="215">
        <f>AI12/(AK12+1)</f>
        <v>8.6999999999999993</v>
      </c>
      <c r="AM12" s="214">
        <f>AK12</f>
        <v>4</v>
      </c>
      <c r="AN12" s="216"/>
      <c r="AO12" s="216"/>
      <c r="AP12" s="217"/>
      <c r="AQ12" s="216"/>
      <c r="AR12" s="187"/>
      <c r="AS12" s="187"/>
      <c r="AT12" s="187"/>
      <c r="AU12" s="187"/>
      <c r="AV12" s="187"/>
    </row>
    <row r="13" spans="2:48" ht="15.65" customHeight="1" x14ac:dyDescent="0.35">
      <c r="H13" s="3"/>
      <c r="I13" s="3"/>
      <c r="J13" s="3"/>
      <c r="K13" s="3"/>
      <c r="L13" s="3"/>
      <c r="M13" s="3"/>
      <c r="AE13" s="187"/>
      <c r="AF13" s="187"/>
      <c r="AG13" s="9" t="s">
        <v>42</v>
      </c>
      <c r="AH13" s="218">
        <f>SUM(AM11:AM12)</f>
        <v>8</v>
      </c>
      <c r="AI13" s="187"/>
      <c r="AJ13" s="187"/>
      <c r="AK13" s="187"/>
      <c r="AL13" s="187"/>
      <c r="AM13" s="187"/>
      <c r="AN13" s="187"/>
      <c r="AO13" s="187"/>
      <c r="AP13" s="187"/>
      <c r="AQ13" s="187"/>
      <c r="AR13" s="187"/>
      <c r="AS13" s="187"/>
      <c r="AT13" s="187"/>
      <c r="AU13" s="187"/>
      <c r="AV13" s="187"/>
    </row>
    <row r="14" spans="2:48" ht="15.65" customHeight="1" x14ac:dyDescent="0.35">
      <c r="H14" s="3"/>
      <c r="I14" s="3"/>
      <c r="J14" s="3"/>
      <c r="K14" s="3"/>
      <c r="L14" s="3"/>
      <c r="M14" s="3"/>
      <c r="AE14" s="187"/>
      <c r="AF14" s="187"/>
      <c r="AG14" s="187"/>
      <c r="AH14" s="187"/>
      <c r="AI14" s="187"/>
      <c r="AJ14" s="187"/>
      <c r="AK14" s="187"/>
      <c r="AL14" s="187"/>
      <c r="AM14" s="187"/>
      <c r="AN14" s="187"/>
      <c r="AO14" s="187"/>
      <c r="AP14" s="187"/>
      <c r="AQ14" s="187"/>
      <c r="AR14" s="187"/>
      <c r="AS14" s="187"/>
      <c r="AT14" s="187"/>
      <c r="AU14" s="187"/>
      <c r="AV14" s="187"/>
    </row>
    <row r="15" spans="2:48" ht="15.65" customHeight="1" x14ac:dyDescent="0.35">
      <c r="H15" s="3"/>
      <c r="I15" s="3"/>
      <c r="J15" s="3"/>
      <c r="K15" s="3"/>
      <c r="L15" s="3"/>
      <c r="M15" s="3"/>
      <c r="AE15" s="187"/>
      <c r="AF15" s="187"/>
      <c r="AG15" s="187"/>
      <c r="AH15" s="187"/>
      <c r="AI15" s="187"/>
      <c r="AJ15" s="187"/>
      <c r="AK15" s="187"/>
      <c r="AL15" s="187"/>
      <c r="AM15" s="8" t="s">
        <v>97</v>
      </c>
      <c r="AN15" s="8" t="s">
        <v>97</v>
      </c>
      <c r="AO15" s="187"/>
      <c r="AP15" s="187"/>
      <c r="AQ15" s="187"/>
      <c r="AR15" s="187"/>
      <c r="AS15" s="187"/>
      <c r="AT15" s="187"/>
      <c r="AU15" s="187"/>
      <c r="AV15" s="187"/>
    </row>
    <row r="16" spans="2:48" ht="15.65" customHeight="1" x14ac:dyDescent="0.35">
      <c r="H16" s="3"/>
      <c r="I16" s="3"/>
      <c r="J16" s="3"/>
      <c r="K16" s="3"/>
      <c r="L16" s="3"/>
      <c r="M16" s="3"/>
      <c r="AE16" s="49" t="s">
        <v>3</v>
      </c>
      <c r="AF16" s="41" t="s">
        <v>4</v>
      </c>
      <c r="AG16" s="50"/>
      <c r="AH16" s="49" t="s">
        <v>43</v>
      </c>
      <c r="AI16" s="49" t="s">
        <v>44</v>
      </c>
      <c r="AJ16" s="25"/>
      <c r="AK16" s="22" t="s">
        <v>45</v>
      </c>
      <c r="AL16" s="24"/>
      <c r="AM16" s="49" t="s">
        <v>71</v>
      </c>
      <c r="AN16" s="49" t="s">
        <v>87</v>
      </c>
      <c r="AO16" s="57" t="s">
        <v>96</v>
      </c>
      <c r="AP16" s="49" t="s">
        <v>46</v>
      </c>
      <c r="AQ16" s="49" t="s">
        <v>47</v>
      </c>
      <c r="AR16" s="49" t="s">
        <v>1</v>
      </c>
      <c r="AS16" s="49" t="s">
        <v>2</v>
      </c>
      <c r="AT16" s="49" t="s">
        <v>49</v>
      </c>
      <c r="AU16" s="49" t="s">
        <v>51</v>
      </c>
      <c r="AV16" s="49" t="s">
        <v>52</v>
      </c>
    </row>
    <row r="17" spans="2:48" ht="15.65" customHeight="1" x14ac:dyDescent="0.35">
      <c r="H17" s="3"/>
      <c r="I17" s="3"/>
      <c r="J17" s="3"/>
      <c r="K17" s="3"/>
      <c r="L17" s="3"/>
      <c r="M17" s="3"/>
      <c r="AE17" s="219"/>
      <c r="AF17" s="220"/>
      <c r="AG17" s="221"/>
      <c r="AH17" s="219"/>
      <c r="AI17" s="219"/>
      <c r="AJ17" s="62" t="s">
        <v>53</v>
      </c>
      <c r="AK17" s="216"/>
      <c r="AL17" s="63" t="s">
        <v>53</v>
      </c>
      <c r="AM17" s="53" t="s">
        <v>54</v>
      </c>
      <c r="AN17" s="66" t="s">
        <v>99</v>
      </c>
      <c r="AO17" s="51"/>
      <c r="AP17" s="52" t="s">
        <v>0</v>
      </c>
      <c r="AQ17" s="52" t="s">
        <v>54</v>
      </c>
      <c r="AR17" s="52" t="s">
        <v>0</v>
      </c>
      <c r="AS17" s="52" t="s">
        <v>0</v>
      </c>
      <c r="AT17" s="52" t="s">
        <v>0</v>
      </c>
      <c r="AU17" s="52" t="s">
        <v>0</v>
      </c>
      <c r="AV17" s="53" t="s">
        <v>55</v>
      </c>
    </row>
    <row r="18" spans="2:48" ht="15.65" customHeight="1" x14ac:dyDescent="0.35">
      <c r="H18" s="3"/>
      <c r="I18" s="3"/>
      <c r="J18" s="3"/>
      <c r="K18" s="3"/>
      <c r="L18" s="3"/>
      <c r="M18" s="3"/>
      <c r="AE18" s="189">
        <v>1</v>
      </c>
      <c r="AF18" s="212" t="s">
        <v>56</v>
      </c>
      <c r="AG18" s="212"/>
      <c r="AH18" s="212"/>
      <c r="AI18" s="189">
        <v>2</v>
      </c>
      <c r="AJ18" s="202">
        <f>AG5</f>
        <v>48</v>
      </c>
      <c r="AK18" s="222" t="s">
        <v>57</v>
      </c>
      <c r="AL18" s="202">
        <f>AG7</f>
        <v>10</v>
      </c>
      <c r="AM18" s="223">
        <f>AJ18*AL18*0.00694444</f>
        <v>3.3333311999999999</v>
      </c>
      <c r="AN18" s="224"/>
      <c r="AO18" s="194">
        <f>$AU$5</f>
        <v>1.90625</v>
      </c>
      <c r="AP18" s="225">
        <f t="shared" ref="AP18:AP23" si="0">AM18*$AV$5</f>
        <v>6.770829</v>
      </c>
      <c r="AQ18" s="226">
        <f t="shared" ref="AQ18:AQ23" si="1">AI18*AM18</f>
        <v>6.6666623999999999</v>
      </c>
      <c r="AR18" s="227">
        <f t="shared" ref="AR18:AR22" si="2">AP18*AI18</f>
        <v>13.541658</v>
      </c>
      <c r="AS18" s="195"/>
      <c r="AT18" s="195"/>
      <c r="AU18" s="195"/>
      <c r="AV18" s="228">
        <f>AO18*AI18*AM18</f>
        <v>12.708325199999999</v>
      </c>
    </row>
    <row r="19" spans="2:48" ht="15.65" customHeight="1" x14ac:dyDescent="0.35">
      <c r="H19" s="3"/>
      <c r="I19" s="3"/>
      <c r="J19" s="3"/>
      <c r="K19" s="3"/>
      <c r="L19" s="3"/>
      <c r="M19" s="3"/>
      <c r="AE19" s="214">
        <v>2</v>
      </c>
      <c r="AF19" s="213" t="s">
        <v>58</v>
      </c>
      <c r="AG19" s="213"/>
      <c r="AH19" s="213"/>
      <c r="AI19" s="214">
        <v>4</v>
      </c>
      <c r="AJ19" s="202">
        <f>AG5</f>
        <v>48</v>
      </c>
      <c r="AK19" s="222" t="s">
        <v>57</v>
      </c>
      <c r="AL19" s="202">
        <v>1.75</v>
      </c>
      <c r="AM19" s="229">
        <f>AJ19*AL19*0.00694444</f>
        <v>0.58333296000000001</v>
      </c>
      <c r="AN19" s="230"/>
      <c r="AO19" s="215">
        <f t="shared" ref="AO19:AO23" si="3">$AU$5</f>
        <v>1.90625</v>
      </c>
      <c r="AP19" s="231">
        <f t="shared" si="0"/>
        <v>1.184895075</v>
      </c>
      <c r="AQ19" s="232">
        <f t="shared" si="1"/>
        <v>2.33333184</v>
      </c>
      <c r="AR19" s="233">
        <f t="shared" si="2"/>
        <v>4.7395803000000001</v>
      </c>
      <c r="AS19" s="234"/>
      <c r="AT19" s="234"/>
      <c r="AU19" s="234"/>
      <c r="AV19" s="235">
        <f t="shared" ref="AV19:AV23" si="4">AO19*AI19*AM19</f>
        <v>4.4479138200000001</v>
      </c>
    </row>
    <row r="20" spans="2:48" ht="15.65" customHeight="1" x14ac:dyDescent="0.35">
      <c r="F20" s="99"/>
      <c r="G20" s="99"/>
      <c r="H20" s="3"/>
      <c r="I20" s="3"/>
      <c r="J20" s="3"/>
      <c r="K20" s="3"/>
      <c r="L20" s="3"/>
      <c r="M20" s="3"/>
      <c r="AE20" s="189">
        <v>3</v>
      </c>
      <c r="AF20" s="212" t="s">
        <v>59</v>
      </c>
      <c r="AG20" s="212"/>
      <c r="AH20" s="212"/>
      <c r="AI20" s="189">
        <v>2</v>
      </c>
      <c r="AJ20" s="202">
        <f>AG7-(2*AH5)</f>
        <v>8.5625</v>
      </c>
      <c r="AK20" s="222" t="s">
        <v>57</v>
      </c>
      <c r="AL20" s="202">
        <v>1.75</v>
      </c>
      <c r="AM20" s="223">
        <f t="shared" ref="AM20:AM23" si="5">AJ20*AL20*0.00694444</f>
        <v>0.104058093125</v>
      </c>
      <c r="AN20" s="224"/>
      <c r="AO20" s="194">
        <f t="shared" si="3"/>
        <v>1.90625</v>
      </c>
      <c r="AP20" s="225">
        <f t="shared" si="0"/>
        <v>0.21136800166015626</v>
      </c>
      <c r="AQ20" s="226">
        <f t="shared" si="1"/>
        <v>0.20811618625</v>
      </c>
      <c r="AR20" s="227">
        <f t="shared" si="2"/>
        <v>0.42273600332031253</v>
      </c>
      <c r="AS20" s="195"/>
      <c r="AT20" s="195"/>
      <c r="AU20" s="195"/>
      <c r="AV20" s="228">
        <f t="shared" si="4"/>
        <v>0.39672148003906249</v>
      </c>
    </row>
    <row r="21" spans="2:48" ht="15.65" customHeight="1" x14ac:dyDescent="0.35">
      <c r="F21" s="99"/>
      <c r="G21" s="99"/>
      <c r="H21" s="3"/>
      <c r="I21" s="3"/>
      <c r="J21" s="3"/>
      <c r="K21" s="3"/>
      <c r="L21" s="3"/>
      <c r="M21" s="3"/>
      <c r="AE21" s="214">
        <v>4</v>
      </c>
      <c r="AF21" s="213" t="s">
        <v>60</v>
      </c>
      <c r="AG21" s="213"/>
      <c r="AH21" s="213"/>
      <c r="AI21" s="214">
        <v>2</v>
      </c>
      <c r="AJ21" s="202">
        <f>AJ6</f>
        <v>47.9375</v>
      </c>
      <c r="AK21" s="222" t="s">
        <v>57</v>
      </c>
      <c r="AL21" s="202">
        <f>AG7</f>
        <v>10</v>
      </c>
      <c r="AM21" s="229">
        <f t="shared" si="5"/>
        <v>3.3289909249999998</v>
      </c>
      <c r="AN21" s="230"/>
      <c r="AO21" s="215">
        <f t="shared" si="3"/>
        <v>1.90625</v>
      </c>
      <c r="AP21" s="231">
        <f t="shared" si="0"/>
        <v>6.7620128164062496</v>
      </c>
      <c r="AQ21" s="232">
        <f t="shared" si="1"/>
        <v>6.6579818499999996</v>
      </c>
      <c r="AR21" s="233">
        <f t="shared" si="2"/>
        <v>13.524025632812499</v>
      </c>
      <c r="AS21" s="234"/>
      <c r="AT21" s="234"/>
      <c r="AU21" s="234"/>
      <c r="AV21" s="235">
        <f t="shared" si="4"/>
        <v>12.691777901562499</v>
      </c>
    </row>
    <row r="22" spans="2:48" ht="15.65" customHeight="1" x14ac:dyDescent="0.35">
      <c r="F22" s="79"/>
      <c r="G22" s="79"/>
      <c r="H22" s="3"/>
      <c r="I22" s="3"/>
      <c r="J22" s="3"/>
      <c r="K22" s="3"/>
      <c r="L22" s="3"/>
      <c r="M22" s="3"/>
      <c r="AE22" s="189">
        <v>5</v>
      </c>
      <c r="AF22" s="212" t="s">
        <v>61</v>
      </c>
      <c r="AG22" s="212"/>
      <c r="AH22" s="212"/>
      <c r="AI22" s="189">
        <v>4</v>
      </c>
      <c r="AJ22" s="202">
        <f>AJ6</f>
        <v>47.9375</v>
      </c>
      <c r="AK22" s="222" t="s">
        <v>57</v>
      </c>
      <c r="AL22" s="202">
        <v>1.75</v>
      </c>
      <c r="AM22" s="223">
        <f t="shared" si="5"/>
        <v>0.582573411875</v>
      </c>
      <c r="AN22" s="224"/>
      <c r="AO22" s="194">
        <f t="shared" si="3"/>
        <v>1.90625</v>
      </c>
      <c r="AP22" s="225">
        <f t="shared" si="0"/>
        <v>1.1833522428710939</v>
      </c>
      <c r="AQ22" s="226">
        <f t="shared" si="1"/>
        <v>2.3302936475</v>
      </c>
      <c r="AR22" s="227">
        <f t="shared" si="2"/>
        <v>4.7334089714843754</v>
      </c>
      <c r="AS22" s="195"/>
      <c r="AT22" s="195"/>
      <c r="AU22" s="195"/>
      <c r="AV22" s="228">
        <f t="shared" si="4"/>
        <v>4.4421222655468746</v>
      </c>
    </row>
    <row r="23" spans="2:48" ht="15.65" customHeight="1" x14ac:dyDescent="0.35">
      <c r="B23" s="15"/>
      <c r="F23" s="79"/>
      <c r="G23" s="79"/>
      <c r="H23" s="3"/>
      <c r="I23" s="3"/>
      <c r="J23" s="3"/>
      <c r="K23" s="3"/>
      <c r="L23" s="3"/>
      <c r="M23" s="3"/>
      <c r="AE23" s="214">
        <v>6</v>
      </c>
      <c r="AF23" s="213" t="s">
        <v>62</v>
      </c>
      <c r="AG23" s="213"/>
      <c r="AH23" s="213"/>
      <c r="AI23" s="236">
        <f>AH13*2</f>
        <v>16</v>
      </c>
      <c r="AJ23" s="202">
        <f>AG7-(2*AH5)</f>
        <v>8.5625</v>
      </c>
      <c r="AK23" s="222" t="s">
        <v>57</v>
      </c>
      <c r="AL23" s="202">
        <f>1.75</f>
        <v>1.75</v>
      </c>
      <c r="AM23" s="229">
        <f t="shared" si="5"/>
        <v>0.104058093125</v>
      </c>
      <c r="AN23" s="230"/>
      <c r="AO23" s="215">
        <f t="shared" si="3"/>
        <v>1.90625</v>
      </c>
      <c r="AP23" s="231">
        <f t="shared" si="0"/>
        <v>0.21136800166015626</v>
      </c>
      <c r="AQ23" s="232">
        <f t="shared" si="1"/>
        <v>1.66492949</v>
      </c>
      <c r="AR23" s="233">
        <f>AP23*AI23</f>
        <v>3.3818880265625002</v>
      </c>
      <c r="AS23" s="234"/>
      <c r="AT23" s="234"/>
      <c r="AU23" s="234"/>
      <c r="AV23" s="235">
        <f t="shared" si="4"/>
        <v>3.1737718403124999</v>
      </c>
    </row>
    <row r="24" spans="2:48" ht="15.65" customHeight="1" x14ac:dyDescent="0.35">
      <c r="C24" s="13"/>
      <c r="D24" s="12"/>
      <c r="E24" s="75"/>
      <c r="F24" s="42"/>
      <c r="G24" s="42"/>
      <c r="H24" s="3"/>
      <c r="I24" s="3"/>
      <c r="J24" s="3"/>
      <c r="K24" s="3"/>
      <c r="L24" s="3"/>
      <c r="M24" s="3"/>
      <c r="AE24" s="189">
        <v>7</v>
      </c>
      <c r="AF24" s="212" t="s">
        <v>63</v>
      </c>
      <c r="AG24" s="212"/>
      <c r="AH24" s="212"/>
      <c r="AI24" s="189">
        <f>C42</f>
        <v>4</v>
      </c>
      <c r="AJ24" s="202" t="s">
        <v>88</v>
      </c>
      <c r="AK24" s="222" t="s">
        <v>57</v>
      </c>
      <c r="AL24" s="202">
        <f>IF(C42&gt;0,((AG6/3)/(C42/2)),0)</f>
        <v>7.166666666666667</v>
      </c>
      <c r="AM24" s="223"/>
      <c r="AN24" s="194">
        <f>(AL24/12)*AI24</f>
        <v>2.3888888888888888</v>
      </c>
      <c r="AO24" s="194">
        <f>AU9</f>
        <v>0.625</v>
      </c>
      <c r="AP24" s="225"/>
      <c r="AQ24" s="226"/>
      <c r="AR24" s="227"/>
      <c r="AS24" s="195"/>
      <c r="AT24" s="227">
        <f>AN24*AV9</f>
        <v>1.0302083333333334</v>
      </c>
      <c r="AU24" s="195"/>
      <c r="AV24" s="228">
        <f>AO24*AN24</f>
        <v>1.4930555555555556</v>
      </c>
    </row>
    <row r="25" spans="2:48" ht="15.65" customHeight="1" x14ac:dyDescent="0.35">
      <c r="C25" s="12"/>
      <c r="D25" s="12"/>
      <c r="E25" s="76"/>
      <c r="F25" s="42"/>
      <c r="G25" s="42"/>
      <c r="I25" s="3"/>
      <c r="J25" s="3"/>
      <c r="K25" s="3"/>
      <c r="L25" s="3"/>
      <c r="M25" s="3"/>
      <c r="AE25" s="214">
        <v>8</v>
      </c>
      <c r="AF25" s="234" t="s">
        <v>5</v>
      </c>
      <c r="AG25" s="213"/>
      <c r="AH25" s="213"/>
      <c r="AI25" s="222">
        <f>SUM(AO39:AO42)</f>
        <v>168</v>
      </c>
      <c r="AJ25" s="214"/>
      <c r="AK25" s="214"/>
      <c r="AL25" s="237"/>
      <c r="AM25" s="229"/>
      <c r="AN25" s="230"/>
      <c r="AO25" s="215">
        <f>[1]Données!J12</f>
        <v>4.2938501892000004E-3</v>
      </c>
      <c r="AP25" s="233"/>
      <c r="AQ25" s="234"/>
      <c r="AR25" s="233"/>
      <c r="AS25" s="234"/>
      <c r="AT25" s="234"/>
      <c r="AU25" s="297">
        <f>AP25*AI25</f>
        <v>0</v>
      </c>
      <c r="AV25" s="235">
        <f>AO25*AI25</f>
        <v>0.72136683178560002</v>
      </c>
    </row>
    <row r="26" spans="2:48" ht="15.65" customHeight="1" x14ac:dyDescent="0.35">
      <c r="B26" s="124"/>
      <c r="C26" s="124"/>
      <c r="D26" s="124"/>
      <c r="E26" s="124"/>
      <c r="F26" s="43"/>
      <c r="G26" s="43"/>
      <c r="H26" s="106"/>
      <c r="I26" s="123"/>
      <c r="J26" s="123"/>
      <c r="K26" s="123"/>
      <c r="L26" s="3"/>
      <c r="M26" s="3"/>
      <c r="N26" s="106"/>
      <c r="O26" s="106"/>
      <c r="P26" s="106"/>
      <c r="Q26" s="106"/>
      <c r="T26" s="106"/>
      <c r="U26" s="106"/>
      <c r="V26" s="106"/>
      <c r="W26" s="106"/>
      <c r="X26" s="106"/>
      <c r="Z26" s="106"/>
      <c r="AA26" s="106"/>
      <c r="AB26" s="106"/>
      <c r="AC26" s="106"/>
      <c r="AE26" s="189">
        <v>9</v>
      </c>
      <c r="AF26" s="195" t="s">
        <v>6</v>
      </c>
      <c r="AG26" s="212"/>
      <c r="AH26" s="212"/>
      <c r="AI26" s="189">
        <v>8</v>
      </c>
      <c r="AJ26" s="238"/>
      <c r="AK26" s="189"/>
      <c r="AL26" s="195"/>
      <c r="AM26" s="223"/>
      <c r="AN26" s="224"/>
      <c r="AO26" s="215">
        <f>[1]Données!J13</f>
        <v>4.8707674966720009E-2</v>
      </c>
      <c r="AP26" s="227">
        <f>[1]Données!H12</f>
        <v>0.06</v>
      </c>
      <c r="AQ26" s="195"/>
      <c r="AR26" s="227"/>
      <c r="AS26" s="195"/>
      <c r="AT26" s="195"/>
      <c r="AU26" s="298">
        <f>AP26*AI26</f>
        <v>0.48</v>
      </c>
      <c r="AV26" s="228">
        <f>AO26*AI26</f>
        <v>0.38966139973376007</v>
      </c>
    </row>
    <row r="27" spans="2:48" ht="15.65" customHeight="1" x14ac:dyDescent="0.35">
      <c r="E27" s="106"/>
      <c r="X27" s="61"/>
      <c r="AE27" s="214">
        <v>10</v>
      </c>
      <c r="AF27" s="234" t="s">
        <v>7</v>
      </c>
      <c r="AG27" s="213"/>
      <c r="AH27" s="213"/>
      <c r="AI27" s="214">
        <v>8</v>
      </c>
      <c r="AJ27" s="239"/>
      <c r="AK27" s="234"/>
      <c r="AL27" s="234"/>
      <c r="AM27" s="229"/>
      <c r="AN27" s="230"/>
      <c r="AO27" s="215">
        <f>[1]Données!J14</f>
        <v>1.0151102242160001E-2</v>
      </c>
      <c r="AP27" s="233">
        <f>[1]Données!H13</f>
        <v>0.17</v>
      </c>
      <c r="AQ27" s="234"/>
      <c r="AR27" s="233"/>
      <c r="AS27" s="234"/>
      <c r="AT27" s="234"/>
      <c r="AU27" s="297">
        <f>AP27*AI27</f>
        <v>1.36</v>
      </c>
      <c r="AV27" s="235">
        <f>AO27*AI27</f>
        <v>8.1208817937280006E-2</v>
      </c>
    </row>
    <row r="28" spans="2:48" ht="15.65" customHeight="1" x14ac:dyDescent="0.35">
      <c r="E28" s="127"/>
      <c r="X28" s="165"/>
      <c r="AE28" s="189">
        <v>11</v>
      </c>
      <c r="AF28" s="195" t="s">
        <v>8</v>
      </c>
      <c r="AG28" s="212"/>
      <c r="AH28" s="212"/>
      <c r="AI28" s="189">
        <v>8</v>
      </c>
      <c r="AJ28" s="238"/>
      <c r="AK28" s="195"/>
      <c r="AL28" s="195"/>
      <c r="AM28" s="223"/>
      <c r="AN28" s="224"/>
      <c r="AO28" s="215">
        <f>[1]Données!J15</f>
        <v>9.2042532260799993E-3</v>
      </c>
      <c r="AP28" s="227">
        <f>[1]Données!H14</f>
        <v>0.17</v>
      </c>
      <c r="AQ28" s="195"/>
      <c r="AR28" s="227"/>
      <c r="AS28" s="195"/>
      <c r="AT28" s="195"/>
      <c r="AU28" s="298">
        <f>AP28*AI28</f>
        <v>1.36</v>
      </c>
      <c r="AV28" s="228">
        <f>AO28*AI28</f>
        <v>7.3634025808639994E-2</v>
      </c>
    </row>
    <row r="29" spans="2:48" ht="15.65" customHeight="1" x14ac:dyDescent="0.35">
      <c r="E29" s="127"/>
      <c r="X29" s="166"/>
      <c r="AE29" s="214">
        <v>12</v>
      </c>
      <c r="AF29" s="234" t="s">
        <v>9</v>
      </c>
      <c r="AG29" s="213"/>
      <c r="AH29" s="213"/>
      <c r="AI29" s="222">
        <f>AI24*3</f>
        <v>12</v>
      </c>
      <c r="AJ29" s="214"/>
      <c r="AK29" s="214"/>
      <c r="AL29" s="234"/>
      <c r="AM29" s="229"/>
      <c r="AN29" s="230"/>
      <c r="AO29" s="215">
        <f>[1]Données!J16</f>
        <v>7.1564169820000009E-3</v>
      </c>
      <c r="AP29" s="233">
        <f>[1]Données!H15</f>
        <v>0.14000000000000001</v>
      </c>
      <c r="AQ29" s="234"/>
      <c r="AR29" s="234"/>
      <c r="AS29" s="234"/>
      <c r="AT29" s="233"/>
      <c r="AU29" s="297">
        <f>AP29*AI29</f>
        <v>1.6800000000000002</v>
      </c>
      <c r="AV29" s="235"/>
    </row>
    <row r="30" spans="2:48" ht="15.65" customHeight="1" x14ac:dyDescent="0.35">
      <c r="E30" s="106"/>
      <c r="X30" s="166"/>
      <c r="AE30" s="189">
        <v>13</v>
      </c>
      <c r="AF30" s="195" t="s">
        <v>2</v>
      </c>
      <c r="AG30" s="212"/>
      <c r="AH30" s="189"/>
      <c r="AI30" s="240">
        <v>2</v>
      </c>
      <c r="AJ30" s="241">
        <f>AJ5</f>
        <v>52.9375</v>
      </c>
      <c r="AK30" s="222" t="s">
        <v>57</v>
      </c>
      <c r="AL30" s="241">
        <f>AJ6</f>
        <v>47.9375</v>
      </c>
      <c r="AM30" s="223">
        <f>AJ30*AL30*0.00694444</f>
        <v>17.622845709218748</v>
      </c>
      <c r="AN30" s="224"/>
      <c r="AO30" s="194">
        <f>AU6</f>
        <v>0.39687499999999998</v>
      </c>
      <c r="AP30" s="227">
        <f>AM30*AV6</f>
        <v>13.21713428191406</v>
      </c>
      <c r="AQ30" s="226">
        <f>AI30*AM30</f>
        <v>35.245691418437495</v>
      </c>
      <c r="AR30" s="195"/>
      <c r="AS30" s="227">
        <f>AQ30*AV6</f>
        <v>26.43426856382812</v>
      </c>
      <c r="AT30" s="195"/>
      <c r="AU30" s="299"/>
      <c r="AV30" s="228">
        <f>AO30*AI30*AM30</f>
        <v>13.98813378169238</v>
      </c>
    </row>
    <row r="31" spans="2:48" ht="15.65" customHeight="1" x14ac:dyDescent="0.35">
      <c r="E31" s="106"/>
      <c r="F31" s="18"/>
      <c r="G31" s="18"/>
      <c r="X31" s="165"/>
      <c r="AE31" s="214">
        <v>14</v>
      </c>
      <c r="AF31" s="234" t="s">
        <v>10</v>
      </c>
      <c r="AG31" s="213"/>
      <c r="AH31" s="214">
        <v>1</v>
      </c>
      <c r="AI31" s="242">
        <f>AM49*AH31</f>
        <v>30</v>
      </c>
      <c r="AJ31" s="239"/>
      <c r="AK31" s="214"/>
      <c r="AL31" s="234"/>
      <c r="AM31" s="234"/>
      <c r="AN31" s="230"/>
      <c r="AO31" s="243">
        <f>[1]Données!J17</f>
        <v>5.2847386943999999E-3</v>
      </c>
      <c r="AP31" s="233">
        <f>[1]Données!H17</f>
        <v>0.34</v>
      </c>
      <c r="AQ31" s="234"/>
      <c r="AR31" s="234"/>
      <c r="AS31" s="67"/>
      <c r="AT31" s="67"/>
      <c r="AU31" s="297">
        <f>AH31*AI31*AP31</f>
        <v>10.200000000000001</v>
      </c>
      <c r="AV31" s="235">
        <f>AI31*AO32</f>
        <v>7.86104880792E-2</v>
      </c>
    </row>
    <row r="32" spans="2:48" ht="15.65" customHeight="1" x14ac:dyDescent="0.35">
      <c r="E32" s="106"/>
      <c r="F32" s="18"/>
      <c r="G32" s="18"/>
      <c r="T32" s="106"/>
      <c r="U32" s="106"/>
      <c r="V32" s="106"/>
      <c r="W32" s="106"/>
      <c r="X32" s="106"/>
      <c r="AE32" s="189">
        <v>15</v>
      </c>
      <c r="AF32" s="234" t="s">
        <v>12</v>
      </c>
      <c r="AG32" s="212"/>
      <c r="AH32" s="189">
        <f>IF(C43=1,1,0)</f>
        <v>1</v>
      </c>
      <c r="AI32" s="242">
        <f>AM49*AH32</f>
        <v>30</v>
      </c>
      <c r="AJ32" s="238"/>
      <c r="AK32" s="195"/>
      <c r="AL32" s="195"/>
      <c r="AM32" s="195"/>
      <c r="AN32" s="224"/>
      <c r="AO32" s="243">
        <f>[1]Données!J18</f>
        <v>2.6203496026400001E-3</v>
      </c>
      <c r="AP32" s="244">
        <f>[1]Données!H18</f>
        <v>0.12</v>
      </c>
      <c r="AQ32" s="195"/>
      <c r="AR32" s="195"/>
      <c r="AS32" s="195"/>
      <c r="AT32" s="195"/>
      <c r="AU32" s="298">
        <f>AH32*AI32*AP32</f>
        <v>3.5999999999999996</v>
      </c>
      <c r="AV32" s="228">
        <f>AH32*AI32*AO33</f>
        <v>0.55093400889120003</v>
      </c>
    </row>
    <row r="33" spans="2:48" ht="15.65" customHeight="1" x14ac:dyDescent="0.35">
      <c r="B33" s="178" t="s">
        <v>222</v>
      </c>
      <c r="E33" s="106"/>
      <c r="F33" s="18"/>
      <c r="G33" s="18"/>
      <c r="U33" s="106"/>
      <c r="V33" s="106"/>
      <c r="W33" s="106"/>
      <c r="X33" s="106"/>
      <c r="AE33" s="214">
        <v>16</v>
      </c>
      <c r="AF33" s="282" t="s">
        <v>11</v>
      </c>
      <c r="AG33" s="213"/>
      <c r="AH33" s="214">
        <f>IF(C43=2,1,0)</f>
        <v>0</v>
      </c>
      <c r="AI33" s="242">
        <f>AM49*AH33</f>
        <v>0</v>
      </c>
      <c r="AJ33" s="239"/>
      <c r="AK33" s="214"/>
      <c r="AL33" s="245"/>
      <c r="AM33" s="234"/>
      <c r="AN33" s="230"/>
      <c r="AO33" s="243">
        <f>[1]Données!J19</f>
        <v>1.8364466963040001E-2</v>
      </c>
      <c r="AP33" s="233">
        <f>[1]Données!H19</f>
        <v>0.2</v>
      </c>
      <c r="AQ33" s="234"/>
      <c r="AR33" s="234"/>
      <c r="AS33" s="234"/>
      <c r="AT33" s="234"/>
      <c r="AU33" s="297">
        <f>AH33*AI33*AP33</f>
        <v>0</v>
      </c>
      <c r="AV33" s="235">
        <f>AH33*AI33*AO34</f>
        <v>0</v>
      </c>
    </row>
    <row r="34" spans="2:48" ht="15.65" customHeight="1" x14ac:dyDescent="0.35">
      <c r="E34" s="106"/>
      <c r="F34" s="18"/>
      <c r="G34" s="18"/>
      <c r="H34" s="102" t="s">
        <v>151</v>
      </c>
      <c r="N34" s="103" t="s">
        <v>152</v>
      </c>
      <c r="T34" s="98" t="s">
        <v>149</v>
      </c>
      <c r="U34" s="106"/>
      <c r="V34" s="106"/>
      <c r="W34" s="106"/>
      <c r="X34" s="106"/>
      <c r="Z34" s="98" t="s">
        <v>150</v>
      </c>
      <c r="AE34" s="189">
        <v>17</v>
      </c>
      <c r="AF34" s="195" t="s">
        <v>67</v>
      </c>
      <c r="AG34" s="195"/>
      <c r="AH34" s="189">
        <f xml:space="preserve"> IF(C43=2,1,0)</f>
        <v>0</v>
      </c>
      <c r="AI34" s="242">
        <f>AM49*AH34</f>
        <v>0</v>
      </c>
      <c r="AJ34" s="195"/>
      <c r="AK34" s="195"/>
      <c r="AL34" s="195"/>
      <c r="AM34" s="195"/>
      <c r="AN34" s="224"/>
      <c r="AO34" s="243">
        <f>[1]Données!J20</f>
        <v>4.8443438032000005E-3</v>
      </c>
      <c r="AP34" s="244">
        <f>[1]Données!H20</f>
        <v>1.1000000000000001</v>
      </c>
      <c r="AQ34" s="195"/>
      <c r="AR34" s="195"/>
      <c r="AS34" s="195"/>
      <c r="AT34" s="195"/>
      <c r="AU34" s="298">
        <f>AH34*AI34*AP34</f>
        <v>0</v>
      </c>
      <c r="AV34" s="228">
        <f>AH34*AI34*AO34</f>
        <v>0</v>
      </c>
    </row>
    <row r="35" spans="2:48" ht="15.65" customHeight="1" x14ac:dyDescent="0.35">
      <c r="B35" s="20" t="s">
        <v>228</v>
      </c>
      <c r="C35" s="334">
        <v>6.25E-2</v>
      </c>
      <c r="F35"/>
      <c r="G35"/>
      <c r="N35" s="106"/>
      <c r="O35" s="106"/>
      <c r="P35" s="106"/>
      <c r="Q35" s="106"/>
      <c r="T35" s="106"/>
      <c r="U35" s="106"/>
      <c r="V35" s="106"/>
      <c r="W35" s="106"/>
      <c r="X35" s="106"/>
      <c r="AE35" s="214">
        <v>18</v>
      </c>
      <c r="AF35" s="234" t="s">
        <v>69</v>
      </c>
      <c r="AG35" s="234"/>
      <c r="AH35" s="234"/>
      <c r="AI35" s="234"/>
      <c r="AJ35" s="277">
        <f>((2*AJ30)+(2*AL30))</f>
        <v>201.75</v>
      </c>
      <c r="AK35" s="234"/>
      <c r="AL35" s="234"/>
      <c r="AM35" s="234"/>
      <c r="AN35" s="215">
        <f>AJ35/12</f>
        <v>16.8125</v>
      </c>
      <c r="AO35" s="215">
        <f>AU10</f>
        <v>0.15</v>
      </c>
      <c r="AP35" s="233">
        <f>AV10</f>
        <v>0.6</v>
      </c>
      <c r="AQ35" s="234"/>
      <c r="AR35" s="234"/>
      <c r="AS35" s="234"/>
      <c r="AT35" s="234"/>
      <c r="AU35" s="300"/>
      <c r="AV35" s="235">
        <f>AN35*AO35</f>
        <v>2.5218750000000001</v>
      </c>
    </row>
    <row r="36" spans="2:48" ht="15.65" customHeight="1" x14ac:dyDescent="0.35">
      <c r="F36"/>
      <c r="G36"/>
      <c r="H36" s="105" t="s">
        <v>46</v>
      </c>
      <c r="I36" s="34" t="s">
        <v>108</v>
      </c>
      <c r="J36" s="163" t="s">
        <v>133</v>
      </c>
      <c r="K36" s="164" t="s">
        <v>76</v>
      </c>
      <c r="N36" s="105" t="s">
        <v>46</v>
      </c>
      <c r="O36" s="44" t="s">
        <v>108</v>
      </c>
      <c r="P36" s="105" t="s">
        <v>133</v>
      </c>
      <c r="Q36" s="105" t="s">
        <v>76</v>
      </c>
      <c r="T36" s="105" t="s">
        <v>46</v>
      </c>
      <c r="U36" s="44" t="s">
        <v>108</v>
      </c>
      <c r="V36" s="167" t="s">
        <v>133</v>
      </c>
      <c r="W36" s="168" t="s">
        <v>76</v>
      </c>
      <c r="X36" s="106"/>
      <c r="Z36" s="105" t="s">
        <v>46</v>
      </c>
      <c r="AA36" s="44" t="s">
        <v>108</v>
      </c>
      <c r="AB36" s="168" t="s">
        <v>133</v>
      </c>
      <c r="AC36" s="105" t="s">
        <v>76</v>
      </c>
      <c r="AE36" s="187"/>
      <c r="AF36" s="187"/>
      <c r="AG36" s="187"/>
      <c r="AH36" s="187"/>
      <c r="AI36" s="187"/>
      <c r="AJ36" s="187"/>
      <c r="AK36" s="187"/>
      <c r="AL36" s="187"/>
      <c r="AM36" s="187"/>
      <c r="AN36" s="187"/>
      <c r="AO36" s="187"/>
      <c r="AP36" s="187"/>
      <c r="AQ36" s="187"/>
      <c r="AR36" s="54">
        <f>SUM(AR18:AR35)</f>
        <v>40.343296934179683</v>
      </c>
      <c r="AS36" s="55">
        <f>SUM(AS18:AS35)</f>
        <v>26.43426856382812</v>
      </c>
      <c r="AT36" s="55">
        <f>SUM(AT18:AT35)</f>
        <v>1.0302083333333334</v>
      </c>
      <c r="AU36" s="55">
        <f>SUM(AU18:AU35)</f>
        <v>18.68</v>
      </c>
      <c r="AV36" s="56">
        <f>SUM(AV18:AV35)</f>
        <v>57.759112416944554</v>
      </c>
    </row>
    <row r="37" spans="2:48" ht="15.65" customHeight="1" x14ac:dyDescent="0.35">
      <c r="B37" s="158" t="s">
        <v>210</v>
      </c>
      <c r="C37" s="106"/>
      <c r="F37"/>
      <c r="G37"/>
      <c r="H37" s="142">
        <v>1</v>
      </c>
      <c r="I37" s="159">
        <v>2</v>
      </c>
      <c r="J37" s="87" t="s">
        <v>56</v>
      </c>
      <c r="K37" s="315" t="str">
        <f t="shared" ref="K37:K42" si="6">TRIM(TEXT(MROUND(AJ18,$C$35)," # ??/??")  &amp; " in. × " &amp; TEXT(MROUND(AL18,$C$35),"# ??/??")  &amp; " in.")</f>
        <v>48 in. × 10 in.</v>
      </c>
      <c r="N37" s="142">
        <v>8</v>
      </c>
      <c r="O37" s="159">
        <f>AI25</f>
        <v>168</v>
      </c>
      <c r="P37" s="134" t="s">
        <v>139</v>
      </c>
      <c r="Q37" s="180" t="s">
        <v>223</v>
      </c>
      <c r="T37" s="142">
        <v>9</v>
      </c>
      <c r="U37" s="159">
        <v>8</v>
      </c>
      <c r="V37" s="135" t="s">
        <v>134</v>
      </c>
      <c r="W37" s="284" t="s">
        <v>143</v>
      </c>
      <c r="X37" s="124"/>
      <c r="Y37" s="12"/>
      <c r="Z37" s="142">
        <v>13</v>
      </c>
      <c r="AA37" s="159">
        <v>2</v>
      </c>
      <c r="AB37" s="87" t="s">
        <v>77</v>
      </c>
      <c r="AC37" s="313" t="str">
        <f>TRIM(TEXT(MROUND(AJ30,$C$35),"# ??/??") &amp; " in." &amp; " × " &amp; TEXT(MROUND(AL30,$C$35),"# ??/??") &amp; " in.")</f>
        <v>52 15/16 in. × 47 15/16 in.</v>
      </c>
      <c r="AE37" s="60" t="s">
        <v>75</v>
      </c>
      <c r="AF37" s="60"/>
      <c r="AG37" s="60"/>
      <c r="AH37" s="60"/>
      <c r="AI37" s="60"/>
      <c r="AJ37" s="60"/>
      <c r="AK37" s="60"/>
      <c r="AL37" s="60"/>
      <c r="AM37" s="60"/>
      <c r="AN37" s="60"/>
    </row>
    <row r="38" spans="2:48" ht="15.65" customHeight="1" x14ac:dyDescent="0.35">
      <c r="B38" s="126" t="s">
        <v>173</v>
      </c>
      <c r="C38" s="183">
        <f>Data!E7</f>
        <v>0.71875</v>
      </c>
      <c r="F38"/>
      <c r="G38"/>
      <c r="H38" s="142">
        <v>2</v>
      </c>
      <c r="I38" s="159">
        <v>4</v>
      </c>
      <c r="J38" s="87" t="s">
        <v>58</v>
      </c>
      <c r="K38" s="315" t="str">
        <f t="shared" si="6"/>
        <v>48 in. × 1 3/4 in.</v>
      </c>
      <c r="N38" s="124"/>
      <c r="O38" s="124"/>
      <c r="P38" s="124"/>
      <c r="Q38" s="124"/>
      <c r="T38" s="142">
        <v>10</v>
      </c>
      <c r="U38" s="159">
        <v>16</v>
      </c>
      <c r="V38" s="135" t="s">
        <v>135</v>
      </c>
      <c r="W38" s="136" t="s">
        <v>144</v>
      </c>
      <c r="X38" s="124"/>
      <c r="Y38" s="12"/>
      <c r="Z38" s="142">
        <v>14</v>
      </c>
      <c r="AA38" s="160">
        <f>AI31</f>
        <v>30</v>
      </c>
      <c r="AB38" s="135" t="s">
        <v>135</v>
      </c>
      <c r="AC38" s="294" t="s">
        <v>146</v>
      </c>
      <c r="AE38" s="20" t="s">
        <v>46</v>
      </c>
      <c r="AF38" s="246"/>
      <c r="AG38" s="8" t="s">
        <v>154</v>
      </c>
      <c r="AH38" s="11" t="s">
        <v>32</v>
      </c>
      <c r="AI38" s="8" t="s">
        <v>156</v>
      </c>
      <c r="AJ38" s="8" t="s">
        <v>155</v>
      </c>
      <c r="AK38" s="8" t="s">
        <v>64</v>
      </c>
      <c r="AL38" s="8" t="s">
        <v>153</v>
      </c>
      <c r="AM38" s="8" t="s">
        <v>157</v>
      </c>
      <c r="AN38" s="8" t="s">
        <v>158</v>
      </c>
      <c r="AO38" s="8" t="s">
        <v>159</v>
      </c>
      <c r="AQ38" s="23" t="s">
        <v>17</v>
      </c>
      <c r="AR38" s="45"/>
      <c r="AS38" s="28"/>
    </row>
    <row r="39" spans="2:48" ht="15.65" customHeight="1" x14ac:dyDescent="0.35">
      <c r="B39" s="128" t="s">
        <v>174</v>
      </c>
      <c r="C39" s="184">
        <f>Data!E8</f>
        <v>0.625</v>
      </c>
      <c r="E39" s="106"/>
      <c r="F39"/>
      <c r="G39"/>
      <c r="H39" s="142">
        <v>3</v>
      </c>
      <c r="I39" s="159">
        <v>2</v>
      </c>
      <c r="J39" s="87" t="s">
        <v>59</v>
      </c>
      <c r="K39" s="315" t="str">
        <f t="shared" si="6"/>
        <v>8 9/16 in. × 1 3/4 in.</v>
      </c>
      <c r="N39" s="61" t="s">
        <v>140</v>
      </c>
      <c r="O39" s="124"/>
      <c r="P39" s="106"/>
      <c r="Q39" s="124"/>
      <c r="T39" s="142">
        <v>11</v>
      </c>
      <c r="U39" s="159">
        <v>8</v>
      </c>
      <c r="V39" s="135" t="s">
        <v>136</v>
      </c>
      <c r="W39" s="136" t="s">
        <v>144</v>
      </c>
      <c r="X39" s="106"/>
      <c r="Z39" s="161">
        <v>15</v>
      </c>
      <c r="AA39" s="162">
        <f>AI32</f>
        <v>30</v>
      </c>
      <c r="AB39" s="81" t="s">
        <v>12</v>
      </c>
      <c r="AC39" s="295" t="s">
        <v>196</v>
      </c>
      <c r="AE39" s="195" t="s">
        <v>61</v>
      </c>
      <c r="AF39" s="195"/>
      <c r="AG39" s="189" t="s">
        <v>22</v>
      </c>
      <c r="AH39" s="197">
        <f>AJ21</f>
        <v>47.9375</v>
      </c>
      <c r="AI39" s="194">
        <f>AH39-3</f>
        <v>44.9375</v>
      </c>
      <c r="AJ39" s="194">
        <f>QUOTIENT(AI39,6)</f>
        <v>7</v>
      </c>
      <c r="AK39" s="247">
        <f>AJ39+1</f>
        <v>8</v>
      </c>
      <c r="AL39" s="248">
        <f>IF(AJ39=0,0,AI39/AJ39)</f>
        <v>6.4196428571428568</v>
      </c>
      <c r="AM39" s="189">
        <f>AK39</f>
        <v>8</v>
      </c>
      <c r="AN39" s="238">
        <v>4</v>
      </c>
      <c r="AO39" s="249">
        <f>AM39*AN39</f>
        <v>32</v>
      </c>
      <c r="AQ39" s="189" t="s">
        <v>22</v>
      </c>
      <c r="AR39" s="250">
        <f>AL39</f>
        <v>6.4196428571428568</v>
      </c>
      <c r="AS39" s="189" t="s">
        <v>23</v>
      </c>
    </row>
    <row r="40" spans="2:48" ht="15.65" customHeight="1" x14ac:dyDescent="0.35">
      <c r="B40" s="106"/>
      <c r="C40" s="106"/>
      <c r="E40" s="106"/>
      <c r="H40" s="142">
        <v>4</v>
      </c>
      <c r="I40" s="159">
        <v>2</v>
      </c>
      <c r="J40" s="87" t="s">
        <v>60</v>
      </c>
      <c r="K40" s="315" t="str">
        <f t="shared" si="6"/>
        <v>47 15/16 in. × 10 in.</v>
      </c>
      <c r="N40" s="174" t="s">
        <v>22</v>
      </c>
      <c r="O40" s="107"/>
      <c r="P40" s="312" t="str">
        <f>TRIM(TEXT(MROUND(AR39,$C$35),"# ??/??") &amp; " in.")</f>
        <v>6 7/16 in.</v>
      </c>
      <c r="Q40" s="106"/>
      <c r="T40" s="161">
        <v>12</v>
      </c>
      <c r="U40" s="162">
        <f>C42*3</f>
        <v>12</v>
      </c>
      <c r="V40" s="137" t="s">
        <v>137</v>
      </c>
      <c r="W40" s="133" t="s">
        <v>145</v>
      </c>
      <c r="X40" s="106"/>
      <c r="Z40" s="142">
        <v>16</v>
      </c>
      <c r="AA40" s="160">
        <f>AI33</f>
        <v>0</v>
      </c>
      <c r="AB40" s="140" t="s">
        <v>11</v>
      </c>
      <c r="AC40" s="296" t="s">
        <v>197</v>
      </c>
      <c r="AD40" s="12"/>
      <c r="AE40" s="251" t="s">
        <v>58</v>
      </c>
      <c r="AF40" s="251"/>
      <c r="AG40" s="252" t="s">
        <v>26</v>
      </c>
      <c r="AH40" s="253">
        <f>AJ19</f>
        <v>48</v>
      </c>
      <c r="AI40" s="253">
        <f>AH40-3.5</f>
        <v>44.5</v>
      </c>
      <c r="AJ40" s="253">
        <f>QUOTIENT(AI40,6)</f>
        <v>7</v>
      </c>
      <c r="AK40" s="254">
        <f>AJ40+1</f>
        <v>8</v>
      </c>
      <c r="AL40" s="254">
        <f>IF(AJ40=0,0,AI40/AJ40)</f>
        <v>6.3571428571428568</v>
      </c>
      <c r="AM40" s="255">
        <f>AK40</f>
        <v>8</v>
      </c>
      <c r="AN40" s="256">
        <v>4</v>
      </c>
      <c r="AO40" s="255">
        <f>AM40*AN40</f>
        <v>32</v>
      </c>
      <c r="AQ40" s="214" t="s">
        <v>26</v>
      </c>
      <c r="AR40" s="250">
        <f>AL40</f>
        <v>6.3571428571428568</v>
      </c>
      <c r="AS40" s="214" t="s">
        <v>27</v>
      </c>
    </row>
    <row r="41" spans="2:48" ht="15.65" customHeight="1" x14ac:dyDescent="0.35">
      <c r="B41" s="158" t="s">
        <v>172</v>
      </c>
      <c r="C41" s="106"/>
      <c r="E41" s="106"/>
      <c r="H41" s="142">
        <v>5</v>
      </c>
      <c r="I41" s="159">
        <v>4</v>
      </c>
      <c r="J41" s="87" t="s">
        <v>61</v>
      </c>
      <c r="K41" s="315" t="str">
        <f t="shared" si="6"/>
        <v>47 15/16 in. × 1 3/4 in.</v>
      </c>
      <c r="N41" s="174" t="s">
        <v>26</v>
      </c>
      <c r="O41" s="107"/>
      <c r="P41" s="312" t="str">
        <f t="shared" ref="P41:P42" si="7">TRIM(TEXT(MROUND(AR40,$C$35),"# ??/??") &amp; " in.")</f>
        <v>6 3/8 in.</v>
      </c>
      <c r="Q41" s="106"/>
      <c r="T41" s="106"/>
      <c r="U41" s="106"/>
      <c r="V41" s="106"/>
      <c r="W41" s="106"/>
      <c r="X41" s="106"/>
      <c r="Z41" s="142">
        <v>17</v>
      </c>
      <c r="AA41" s="160">
        <f>AI34</f>
        <v>0</v>
      </c>
      <c r="AB41" s="135" t="s">
        <v>138</v>
      </c>
      <c r="AC41" s="294" t="s">
        <v>147</v>
      </c>
      <c r="AD41" s="12"/>
      <c r="AE41" s="195" t="s">
        <v>62</v>
      </c>
      <c r="AF41" s="195"/>
      <c r="AG41" s="249" t="s">
        <v>30</v>
      </c>
      <c r="AH41" s="194">
        <f>AJ23</f>
        <v>8.5625</v>
      </c>
      <c r="AI41" s="194">
        <f>AH41-(2*$AH$5)</f>
        <v>7.125</v>
      </c>
      <c r="AJ41" s="194">
        <f>QUOTIENT(AI41,6)</f>
        <v>1</v>
      </c>
      <c r="AK41" s="247">
        <f>AJ41+1</f>
        <v>2</v>
      </c>
      <c r="AL41" s="248">
        <f t="shared" ref="AL41:AL42" si="8">IF(AJ41=0,0,AI41/AJ41)</f>
        <v>7.125</v>
      </c>
      <c r="AM41" s="240">
        <f>AK41+4</f>
        <v>6</v>
      </c>
      <c r="AN41" s="240">
        <f>AI23</f>
        <v>16</v>
      </c>
      <c r="AO41" s="189">
        <f>AM41*AN41</f>
        <v>96</v>
      </c>
      <c r="AQ41" s="189" t="s">
        <v>30</v>
      </c>
      <c r="AR41" s="250">
        <f>AL41</f>
        <v>7.125</v>
      </c>
      <c r="AS41" s="195"/>
    </row>
    <row r="42" spans="2:48" ht="15.65" customHeight="1" x14ac:dyDescent="0.35">
      <c r="B42" s="128" t="s">
        <v>49</v>
      </c>
      <c r="C42" s="78">
        <v>4</v>
      </c>
      <c r="E42" s="106"/>
      <c r="H42" s="142">
        <v>6</v>
      </c>
      <c r="I42" s="160">
        <f>AI23</f>
        <v>16</v>
      </c>
      <c r="J42" s="87" t="s">
        <v>62</v>
      </c>
      <c r="K42" s="315" t="str">
        <f t="shared" si="6"/>
        <v>8 9/16 in. × 1 3/4 in.</v>
      </c>
      <c r="N42" s="174" t="s">
        <v>30</v>
      </c>
      <c r="O42" s="107"/>
      <c r="P42" s="312" t="str">
        <f t="shared" si="7"/>
        <v>7 1/8 in.</v>
      </c>
      <c r="Q42" s="106"/>
      <c r="T42" s="106"/>
      <c r="U42" s="106"/>
      <c r="V42" s="106"/>
      <c r="W42" s="106"/>
      <c r="X42" s="106"/>
      <c r="Z42" s="161">
        <v>18</v>
      </c>
      <c r="AA42" s="169">
        <f>AJ35</f>
        <v>201.75</v>
      </c>
      <c r="AB42" s="141" t="s">
        <v>109</v>
      </c>
      <c r="AC42" s="289" t="str">
        <f>FIXED(AJ35,0) &amp; " in. × 3 in."</f>
        <v>202 in. × 3 in.</v>
      </c>
      <c r="AD42" s="12"/>
      <c r="AE42" s="251" t="s">
        <v>59</v>
      </c>
      <c r="AF42" s="251"/>
      <c r="AG42" s="251"/>
      <c r="AH42" s="257">
        <f>AJ20</f>
        <v>8.5625</v>
      </c>
      <c r="AI42" s="253">
        <f>AH42-(2*$AH$5)</f>
        <v>7.125</v>
      </c>
      <c r="AJ42" s="253">
        <f>QUOTIENT(AI42,6)</f>
        <v>1</v>
      </c>
      <c r="AK42" s="254">
        <v>4</v>
      </c>
      <c r="AL42" s="254">
        <f t="shared" si="8"/>
        <v>7.125</v>
      </c>
      <c r="AM42" s="258">
        <f>AK42</f>
        <v>4</v>
      </c>
      <c r="AN42" s="256">
        <v>2</v>
      </c>
      <c r="AO42" s="255">
        <f>AM42*AN42</f>
        <v>8</v>
      </c>
      <c r="AQ42" s="214" t="s">
        <v>38</v>
      </c>
      <c r="AR42" s="250">
        <f>AL46</f>
        <v>7.3125</v>
      </c>
      <c r="AS42" s="214" t="s">
        <v>27</v>
      </c>
    </row>
    <row r="43" spans="2:48" ht="15.65" customHeight="1" x14ac:dyDescent="0.35">
      <c r="B43" s="146" t="s">
        <v>187</v>
      </c>
      <c r="C43" s="78">
        <v>1</v>
      </c>
      <c r="E43" s="106"/>
      <c r="H43" s="161">
        <v>7</v>
      </c>
      <c r="I43" s="162">
        <f>AI24</f>
        <v>4</v>
      </c>
      <c r="J43" s="133" t="s">
        <v>148</v>
      </c>
      <c r="K43" s="316" t="str">
        <f xml:space="preserve"> TRIM("2 in. × 2 in. × "&amp; TEXT(MROUND(AL24,$C$35),"# ??/??")  &amp; " in.")</f>
        <v>2 in. × 2 in. × 7 3/16 in.</v>
      </c>
      <c r="N43" s="106"/>
      <c r="O43" s="106"/>
      <c r="P43" s="106"/>
      <c r="Q43" s="106"/>
      <c r="T43" s="106"/>
      <c r="U43" s="106"/>
      <c r="V43" s="106"/>
      <c r="W43" s="106"/>
      <c r="X43" s="106"/>
      <c r="Z43" s="124"/>
      <c r="AA43" s="124"/>
      <c r="AB43" s="106"/>
      <c r="AC43" s="106"/>
      <c r="AQ43" s="189" t="s">
        <v>40</v>
      </c>
      <c r="AR43" s="250">
        <f>AL47</f>
        <v>7.697916666666667</v>
      </c>
      <c r="AS43" s="189" t="s">
        <v>23</v>
      </c>
    </row>
    <row r="44" spans="2:48" ht="15.65" customHeight="1" x14ac:dyDescent="0.35">
      <c r="B44" s="106"/>
      <c r="C44" s="106"/>
      <c r="E44" s="106"/>
      <c r="H44" s="106"/>
      <c r="I44" s="106"/>
      <c r="J44" s="106"/>
      <c r="K44" s="106"/>
      <c r="N44" s="106"/>
      <c r="O44" s="106"/>
      <c r="P44" s="106"/>
      <c r="Q44" s="106"/>
      <c r="T44" s="106"/>
      <c r="U44" s="106"/>
      <c r="V44" s="106"/>
      <c r="W44" s="106"/>
      <c r="X44" s="106"/>
      <c r="Z44" s="158" t="s">
        <v>176</v>
      </c>
      <c r="AA44" s="106"/>
      <c r="AB44" s="106"/>
      <c r="AC44" s="106"/>
      <c r="AE44" s="60" t="s">
        <v>78</v>
      </c>
      <c r="AF44" s="60"/>
      <c r="AG44" s="60"/>
      <c r="AH44" s="60"/>
      <c r="AI44" s="60"/>
      <c r="AJ44" s="60"/>
      <c r="AK44" s="60"/>
      <c r="AL44" s="60"/>
      <c r="AM44" s="60"/>
      <c r="AN44" s="187"/>
    </row>
    <row r="45" spans="2:48" ht="15.65" customHeight="1" x14ac:dyDescent="0.35">
      <c r="B45" s="158" t="s">
        <v>188</v>
      </c>
      <c r="C45" s="106"/>
      <c r="E45" s="106"/>
      <c r="H45" s="158" t="s">
        <v>176</v>
      </c>
      <c r="I45" s="106"/>
      <c r="J45" s="106"/>
      <c r="K45" s="106"/>
      <c r="N45" s="106"/>
      <c r="O45" s="106"/>
      <c r="P45" s="106"/>
      <c r="Q45" s="106"/>
      <c r="T45" s="106"/>
      <c r="U45" s="106"/>
      <c r="V45" s="106"/>
      <c r="W45" s="106"/>
      <c r="X45" s="106"/>
      <c r="Z45" s="128" t="s">
        <v>175</v>
      </c>
      <c r="AA45" s="107"/>
      <c r="AB45" s="172" t="str">
        <f>FIXED(AF61,0) &amp; " sq. ft."</f>
        <v>35 sq. ft.</v>
      </c>
      <c r="AC45" s="124"/>
      <c r="AE45" s="28" t="s">
        <v>79</v>
      </c>
      <c r="AF45" s="8" t="s">
        <v>154</v>
      </c>
      <c r="AG45" s="8"/>
      <c r="AH45" s="8" t="s">
        <v>32</v>
      </c>
      <c r="AI45" s="105" t="s">
        <v>156</v>
      </c>
      <c r="AJ45" s="105" t="s">
        <v>155</v>
      </c>
      <c r="AK45" s="105" t="s">
        <v>35</v>
      </c>
      <c r="AL45" s="8" t="s">
        <v>36</v>
      </c>
      <c r="AM45" s="8" t="s">
        <v>64</v>
      </c>
    </row>
    <row r="46" spans="2:48" ht="15.65" customHeight="1" x14ac:dyDescent="0.35">
      <c r="B46" s="84" t="s">
        <v>100</v>
      </c>
      <c r="C46" s="78">
        <v>48</v>
      </c>
      <c r="E46" s="106"/>
      <c r="H46" s="128" t="s">
        <v>1</v>
      </c>
      <c r="I46" s="107"/>
      <c r="J46" s="130" t="str">
        <f>FIXED(AF60,0) &amp; " sq. ft."</f>
        <v>20 sq. ft.</v>
      </c>
      <c r="K46" s="106"/>
      <c r="N46" s="106"/>
      <c r="O46" s="106"/>
      <c r="P46" s="106"/>
      <c r="Q46" s="106"/>
      <c r="T46" s="138"/>
      <c r="U46" s="106"/>
      <c r="V46" s="106"/>
      <c r="W46" s="106"/>
      <c r="X46" s="106"/>
      <c r="Z46" s="106"/>
      <c r="AA46" s="106"/>
      <c r="AB46" s="124"/>
      <c r="AC46" s="124"/>
      <c r="AE46" s="278" t="s">
        <v>27</v>
      </c>
      <c r="AF46" s="189" t="s">
        <v>38</v>
      </c>
      <c r="AG46" s="255"/>
      <c r="AH46" s="260">
        <f>AJ30</f>
        <v>52.9375</v>
      </c>
      <c r="AI46" s="260">
        <f>AH46-1.75</f>
        <v>51.1875</v>
      </c>
      <c r="AJ46" s="253">
        <f>QUOTIENT(AI46,8)</f>
        <v>6</v>
      </c>
      <c r="AK46" s="261">
        <f>AJ46+1</f>
        <v>7</v>
      </c>
      <c r="AL46" s="253">
        <f>AI46/AK46</f>
        <v>7.3125</v>
      </c>
      <c r="AM46" s="258">
        <f>AK46*2</f>
        <v>14</v>
      </c>
    </row>
    <row r="47" spans="2:48" ht="15.65" customHeight="1" x14ac:dyDescent="0.35">
      <c r="B47" s="84" t="s">
        <v>101</v>
      </c>
      <c r="C47" s="78">
        <v>43</v>
      </c>
      <c r="E47" s="106"/>
      <c r="H47" s="106"/>
      <c r="I47" s="106"/>
      <c r="J47" s="106"/>
      <c r="K47" s="106"/>
      <c r="N47" s="106"/>
      <c r="O47" s="106"/>
      <c r="P47" s="106"/>
      <c r="Q47" s="106"/>
      <c r="T47" s="106"/>
      <c r="U47" s="139"/>
      <c r="V47" s="106"/>
      <c r="W47" s="106"/>
      <c r="X47" s="106"/>
      <c r="Z47" s="170" t="s">
        <v>141</v>
      </c>
      <c r="AA47" s="124"/>
      <c r="AB47" s="106"/>
      <c r="AC47" s="106"/>
      <c r="AE47" s="279" t="s">
        <v>23</v>
      </c>
      <c r="AF47" s="189" t="s">
        <v>40</v>
      </c>
      <c r="AG47" s="189"/>
      <c r="AH47" s="262">
        <f>AL30</f>
        <v>47.9375</v>
      </c>
      <c r="AI47" s="224">
        <f>AH47-1.75</f>
        <v>46.1875</v>
      </c>
      <c r="AJ47" s="194">
        <f>QUOTIENT(AI47,8)</f>
        <v>5</v>
      </c>
      <c r="AK47" s="263">
        <f>AJ47+1</f>
        <v>6</v>
      </c>
      <c r="AL47" s="197">
        <f>AI47/AK47</f>
        <v>7.697916666666667</v>
      </c>
      <c r="AM47" s="240">
        <f>AK47*2</f>
        <v>12</v>
      </c>
    </row>
    <row r="48" spans="2:48" ht="15.65" customHeight="1" x14ac:dyDescent="0.35">
      <c r="B48" s="129" t="s">
        <v>102</v>
      </c>
      <c r="C48" s="78">
        <v>10</v>
      </c>
      <c r="E48" s="106"/>
      <c r="H48" s="106"/>
      <c r="I48" s="106"/>
      <c r="J48" s="106"/>
      <c r="K48" s="106"/>
      <c r="N48" s="106"/>
      <c r="O48" s="106"/>
      <c r="P48" s="106"/>
      <c r="Q48" s="106"/>
      <c r="T48" s="106"/>
      <c r="U48" s="139"/>
      <c r="V48" s="106"/>
      <c r="W48" s="106"/>
      <c r="X48" s="106"/>
      <c r="Z48" s="171" t="s">
        <v>38</v>
      </c>
      <c r="AA48" s="317"/>
      <c r="AB48" s="142" t="str">
        <f>TRIM(TEXT(MROUND(AR42,$C$35),"# ??/??") &amp; " in.")</f>
        <v>7 5/16 in.</v>
      </c>
      <c r="AC48" s="106"/>
      <c r="AE48" s="280" t="s">
        <v>80</v>
      </c>
      <c r="AF48" s="264"/>
      <c r="AG48" s="189"/>
      <c r="AH48" s="195"/>
      <c r="AI48" s="195"/>
      <c r="AJ48" s="195"/>
      <c r="AK48" s="195"/>
      <c r="AL48" s="195"/>
      <c r="AM48" s="189">
        <v>4</v>
      </c>
      <c r="AN48" s="187"/>
      <c r="AP48" s="265"/>
      <c r="AQ48" s="187"/>
      <c r="AR48" s="187"/>
      <c r="AS48" s="187"/>
      <c r="AT48" s="187"/>
      <c r="AU48" s="187"/>
      <c r="AV48" s="187"/>
    </row>
    <row r="49" spans="2:48" ht="15.65" customHeight="1" x14ac:dyDescent="0.35">
      <c r="B49" s="106"/>
      <c r="C49" s="106"/>
      <c r="E49" s="106"/>
      <c r="H49" s="106"/>
      <c r="I49" s="106"/>
      <c r="J49" s="106"/>
      <c r="K49" s="106"/>
      <c r="N49" s="106"/>
      <c r="O49" s="106"/>
      <c r="P49" s="106"/>
      <c r="Q49" s="106"/>
      <c r="T49" s="106"/>
      <c r="U49" s="139"/>
      <c r="V49" s="106"/>
      <c r="W49" s="106"/>
      <c r="X49" s="106"/>
      <c r="Z49" s="171" t="s">
        <v>40</v>
      </c>
      <c r="AA49" s="317"/>
      <c r="AB49" s="142" t="str">
        <f>TRIM(TEXT(MROUND(AR43,$C$35),"# ??/??") &amp; " in.")</f>
        <v>7 11/16 in.</v>
      </c>
      <c r="AC49" s="106"/>
      <c r="AE49" s="187"/>
      <c r="AF49" s="187"/>
      <c r="AG49" s="187"/>
      <c r="AH49" s="187"/>
      <c r="AI49" s="187"/>
      <c r="AJ49" s="187"/>
      <c r="AK49" s="187"/>
      <c r="AL49" s="20" t="s">
        <v>37</v>
      </c>
      <c r="AM49" s="65">
        <f>SUM(AM46:AM48)</f>
        <v>30</v>
      </c>
      <c r="AN49" s="187"/>
      <c r="AP49" s="265"/>
      <c r="AQ49" s="187"/>
      <c r="AR49" s="187"/>
      <c r="AS49" s="187"/>
      <c r="AT49" s="187"/>
      <c r="AU49" s="187"/>
      <c r="AV49" s="187"/>
    </row>
    <row r="50" spans="2:48" ht="15.65" customHeight="1" x14ac:dyDescent="0.35">
      <c r="B50" s="158" t="s">
        <v>189</v>
      </c>
      <c r="E50" s="106"/>
      <c r="H50" s="106"/>
      <c r="I50" s="106"/>
      <c r="J50" s="106"/>
      <c r="K50" s="106"/>
      <c r="N50" s="106"/>
      <c r="O50" s="106"/>
      <c r="P50" s="106"/>
      <c r="Q50" s="106"/>
      <c r="T50" s="106"/>
      <c r="U50" s="139"/>
      <c r="V50" s="106"/>
      <c r="W50" s="106"/>
      <c r="X50" s="106"/>
      <c r="Z50" s="106"/>
      <c r="AA50" s="106"/>
      <c r="AB50" s="106"/>
      <c r="AC50" s="106"/>
      <c r="AE50" s="23" t="s">
        <v>163</v>
      </c>
      <c r="AF50" s="225">
        <f>[1]Données!J28</f>
        <v>28</v>
      </c>
      <c r="AJ50" s="187"/>
      <c r="AP50" s="187"/>
      <c r="AS50" s="187"/>
    </row>
    <row r="51" spans="2:48" ht="15.65" customHeight="1" x14ac:dyDescent="0.35">
      <c r="B51" s="84" t="s">
        <v>103</v>
      </c>
      <c r="C51" s="314" t="str">
        <f>TRIM(TEXT(MROUND(AK5,$C$35),"# ??/??"))</f>
        <v>53 3/16</v>
      </c>
      <c r="E51" s="106"/>
      <c r="H51" s="106"/>
      <c r="I51" s="106"/>
      <c r="J51" s="106"/>
      <c r="K51" s="106"/>
      <c r="N51" s="106"/>
      <c r="O51" s="106"/>
      <c r="P51" s="106"/>
      <c r="Q51" s="106"/>
      <c r="T51" s="106"/>
      <c r="U51" s="139"/>
      <c r="V51" s="106"/>
      <c r="W51" s="106"/>
      <c r="X51" s="106"/>
      <c r="Z51" s="106"/>
      <c r="AA51" s="106"/>
      <c r="AB51" s="106"/>
      <c r="AC51" s="106"/>
      <c r="AJ51" s="187"/>
      <c r="AP51" s="187"/>
      <c r="AS51" s="187"/>
    </row>
    <row r="52" spans="2:48" ht="15.65" customHeight="1" x14ac:dyDescent="0.35">
      <c r="B52" s="84" t="s">
        <v>104</v>
      </c>
      <c r="C52" s="312" t="str">
        <f>TRIM(TEXT(MROUND(AJ6,$C$35)," # ??/??"))</f>
        <v>47 15/16</v>
      </c>
      <c r="E52" s="106"/>
      <c r="H52" s="106"/>
      <c r="I52" s="106"/>
      <c r="J52" s="106"/>
      <c r="K52" s="106"/>
      <c r="N52" s="106"/>
      <c r="O52" s="106"/>
      <c r="P52" s="106"/>
      <c r="Q52" s="106"/>
      <c r="T52" s="106"/>
      <c r="U52" s="139"/>
      <c r="V52" s="106"/>
      <c r="W52" s="106"/>
      <c r="X52" s="106"/>
      <c r="Z52" s="106"/>
      <c r="AA52" s="106"/>
      <c r="AB52" s="106"/>
      <c r="AC52" s="106"/>
      <c r="AE52" s="23" t="s">
        <v>165</v>
      </c>
      <c r="AF52" s="11"/>
      <c r="AG52" s="8" t="s">
        <v>162</v>
      </c>
      <c r="AH52" s="8" t="s">
        <v>72</v>
      </c>
      <c r="AI52" s="8" t="s">
        <v>164</v>
      </c>
      <c r="AJ52" s="187"/>
      <c r="AP52" s="187"/>
      <c r="AS52" s="187"/>
      <c r="AV52" s="187"/>
    </row>
    <row r="53" spans="2:48" ht="15.65" customHeight="1" x14ac:dyDescent="0.35">
      <c r="B53" s="84" t="s">
        <v>110</v>
      </c>
      <c r="C53" s="312" t="str">
        <f>TRIM(TEXT(MROUND(AJ7,$C$35)," # ??/??"))</f>
        <v>11 1/4</v>
      </c>
      <c r="E53" s="106"/>
      <c r="H53" s="106"/>
      <c r="I53" s="106"/>
      <c r="J53" s="106"/>
      <c r="K53" s="106"/>
      <c r="N53" s="106"/>
      <c r="O53" s="106"/>
      <c r="P53" s="106"/>
      <c r="Q53" s="106"/>
      <c r="T53" s="106"/>
      <c r="U53" s="139"/>
      <c r="V53" s="106"/>
      <c r="W53" s="106"/>
      <c r="X53" s="106"/>
      <c r="Z53" s="106"/>
      <c r="AA53" s="106"/>
      <c r="AB53" s="106"/>
      <c r="AC53" s="106"/>
      <c r="AE53" s="189" t="s">
        <v>48</v>
      </c>
      <c r="AF53" s="189"/>
      <c r="AG53" s="227">
        <f>AF50</f>
        <v>28</v>
      </c>
      <c r="AH53" s="268">
        <f>[1]Données!J29</f>
        <v>4</v>
      </c>
      <c r="AI53" s="227">
        <f>AG53*AH53</f>
        <v>112</v>
      </c>
      <c r="AJ53" s="187"/>
      <c r="AP53" s="187"/>
      <c r="AS53" s="187"/>
      <c r="AV53" s="187"/>
    </row>
    <row r="54" spans="2:48" ht="15.65" customHeight="1" x14ac:dyDescent="0.35">
      <c r="E54" s="106"/>
      <c r="H54" s="106"/>
      <c r="I54" s="106"/>
      <c r="J54" s="106"/>
      <c r="K54" s="106"/>
      <c r="N54" s="106"/>
      <c r="O54" s="106"/>
      <c r="P54" s="106"/>
      <c r="Q54" s="106"/>
      <c r="T54" s="106"/>
      <c r="U54" s="139"/>
      <c r="V54" s="106"/>
      <c r="W54" s="106"/>
      <c r="X54" s="106"/>
      <c r="Z54" s="106"/>
      <c r="AA54" s="106"/>
      <c r="AB54" s="106"/>
      <c r="AC54" s="106"/>
      <c r="AE54" s="214" t="s">
        <v>74</v>
      </c>
      <c r="AF54" s="214"/>
      <c r="AG54" s="233">
        <f>AF50</f>
        <v>28</v>
      </c>
      <c r="AH54" s="269">
        <f>[1]Données!J30</f>
        <v>0.5</v>
      </c>
      <c r="AI54" s="227">
        <f t="shared" ref="AI54:AI55" si="9">AG54*AH54</f>
        <v>14</v>
      </c>
      <c r="AJ54" s="187"/>
      <c r="AP54" s="187"/>
      <c r="AQ54" s="187"/>
      <c r="AR54" s="187"/>
      <c r="AS54" s="187"/>
      <c r="AV54" s="187"/>
    </row>
    <row r="55" spans="2:48" ht="15.65" customHeight="1" x14ac:dyDescent="0.35">
      <c r="B55" s="283" t="s">
        <v>220</v>
      </c>
      <c r="C55" s="130" t="str">
        <f>FIXED(AF70,0)</f>
        <v>58</v>
      </c>
      <c r="E55" s="106"/>
      <c r="H55" s="106"/>
      <c r="I55" s="106"/>
      <c r="J55" s="106"/>
      <c r="K55" s="106"/>
      <c r="N55" s="106"/>
      <c r="O55" s="106"/>
      <c r="P55" s="106"/>
      <c r="Q55" s="106"/>
      <c r="T55" s="106"/>
      <c r="U55" s="139"/>
      <c r="V55" s="106"/>
      <c r="W55" s="106"/>
      <c r="X55" s="106"/>
      <c r="Z55" s="106"/>
      <c r="AA55" s="106"/>
      <c r="AB55" s="106"/>
      <c r="AC55" s="106"/>
      <c r="AE55" s="189" t="s">
        <v>49</v>
      </c>
      <c r="AF55" s="189"/>
      <c r="AG55" s="227">
        <f>AF50</f>
        <v>28</v>
      </c>
      <c r="AH55" s="268">
        <f>[1]Données!J31</f>
        <v>0.5</v>
      </c>
      <c r="AI55" s="227">
        <f t="shared" si="9"/>
        <v>14</v>
      </c>
      <c r="AJ55" s="187"/>
      <c r="AK55" s="187"/>
      <c r="AL55" s="187"/>
      <c r="AM55" s="187"/>
      <c r="AN55" s="187"/>
      <c r="AO55" s="187"/>
      <c r="AP55" s="187"/>
      <c r="AQ55" s="187"/>
      <c r="AR55" s="187"/>
      <c r="AV55" s="187"/>
    </row>
    <row r="56" spans="2:48" ht="15.65" customHeight="1" x14ac:dyDescent="0.35">
      <c r="E56" s="106"/>
      <c r="H56" s="106"/>
      <c r="I56" s="106"/>
      <c r="J56" s="106"/>
      <c r="K56" s="106"/>
      <c r="N56" s="106"/>
      <c r="O56" s="106"/>
      <c r="P56" s="106"/>
      <c r="Q56" s="106"/>
      <c r="T56" s="106"/>
      <c r="U56" s="139"/>
      <c r="V56" s="106"/>
      <c r="W56" s="106"/>
      <c r="X56" s="106"/>
      <c r="Z56" s="106"/>
      <c r="AA56" s="106"/>
      <c r="AB56" s="106"/>
      <c r="AC56" s="106"/>
      <c r="AE56" s="187"/>
      <c r="AF56" s="187"/>
      <c r="AH56" s="64" t="s">
        <v>37</v>
      </c>
      <c r="AI56" s="227">
        <f>SUM(AI53:AI55)</f>
        <v>140</v>
      </c>
      <c r="AJ56" s="187"/>
      <c r="AP56" s="187"/>
      <c r="AQ56" s="187"/>
      <c r="AR56" s="187"/>
      <c r="AV56" s="187"/>
    </row>
    <row r="57" spans="2:48" ht="15.65" customHeight="1" x14ac:dyDescent="0.35">
      <c r="B57" s="61" t="s">
        <v>105</v>
      </c>
      <c r="C57" s="173"/>
      <c r="E57" s="106"/>
      <c r="H57" s="106"/>
      <c r="I57" s="106"/>
      <c r="J57" s="106"/>
      <c r="K57" s="106"/>
      <c r="N57" s="106"/>
      <c r="O57" s="106"/>
      <c r="P57" s="106"/>
      <c r="Q57" s="106"/>
      <c r="T57" s="106"/>
      <c r="U57" s="139"/>
      <c r="V57" s="106"/>
      <c r="W57" s="106"/>
      <c r="X57" s="106"/>
      <c r="Z57" s="106"/>
      <c r="AA57" s="106"/>
      <c r="AB57" s="106"/>
      <c r="AC57" s="106"/>
      <c r="AE57" s="187"/>
      <c r="AF57" s="187"/>
      <c r="AG57" s="187"/>
      <c r="AH57" s="187"/>
      <c r="AI57" s="187"/>
      <c r="AR57" s="187"/>
      <c r="AV57" s="187"/>
    </row>
    <row r="58" spans="2:48" ht="15.65" customHeight="1" x14ac:dyDescent="0.35">
      <c r="B58" s="87" t="s">
        <v>50</v>
      </c>
      <c r="C58" s="131">
        <f>AF64</f>
        <v>67.807773831341137</v>
      </c>
      <c r="E58" s="106"/>
      <c r="H58" s="106"/>
      <c r="I58" s="106"/>
      <c r="J58" s="106"/>
      <c r="K58" s="106"/>
      <c r="N58" s="106"/>
      <c r="O58" s="106"/>
      <c r="P58" s="106"/>
      <c r="Q58" s="106"/>
      <c r="T58" s="106"/>
      <c r="U58" s="139"/>
      <c r="V58" s="106"/>
      <c r="W58" s="106"/>
      <c r="X58" s="106"/>
      <c r="Z58" s="106"/>
      <c r="AA58" s="106"/>
      <c r="AB58" s="106"/>
      <c r="AC58" s="106"/>
      <c r="AE58" s="270" t="s">
        <v>166</v>
      </c>
      <c r="AF58" s="107"/>
      <c r="AR58" s="187"/>
      <c r="AS58" s="61"/>
      <c r="AV58" s="187"/>
    </row>
    <row r="59" spans="2:48" ht="15.65" customHeight="1" x14ac:dyDescent="0.35">
      <c r="B59" s="132" t="s">
        <v>70</v>
      </c>
      <c r="C59" s="131">
        <f t="shared" ref="C59:C61" si="10">AF65</f>
        <v>18.68</v>
      </c>
      <c r="E59" s="106"/>
      <c r="H59" s="106"/>
      <c r="I59" s="106"/>
      <c r="J59" s="106"/>
      <c r="K59" s="106"/>
      <c r="N59" s="106"/>
      <c r="O59" s="106"/>
      <c r="P59" s="106"/>
      <c r="Q59" s="106"/>
      <c r="T59" s="106"/>
      <c r="U59" s="139"/>
      <c r="V59" s="106"/>
      <c r="W59" s="106"/>
      <c r="X59" s="106"/>
      <c r="Z59" s="106"/>
      <c r="AA59" s="106"/>
      <c r="AB59" s="106"/>
      <c r="AC59" s="106"/>
      <c r="AE59" s="46"/>
      <c r="AF59" s="52" t="s">
        <v>54</v>
      </c>
      <c r="AV59" s="187"/>
    </row>
    <row r="60" spans="2:48" ht="15.65" customHeight="1" x14ac:dyDescent="0.35">
      <c r="B60" s="177" t="s">
        <v>73</v>
      </c>
      <c r="C60" s="131">
        <f t="shared" si="10"/>
        <v>140</v>
      </c>
      <c r="E60" s="106"/>
      <c r="H60" s="106"/>
      <c r="I60" s="106"/>
      <c r="J60" s="106"/>
      <c r="K60" s="106"/>
      <c r="N60" s="106"/>
      <c r="O60" s="106"/>
      <c r="P60" s="106"/>
      <c r="Q60" s="106"/>
      <c r="T60" s="106"/>
      <c r="U60" s="139"/>
      <c r="V60" s="106"/>
      <c r="W60" s="106"/>
      <c r="X60" s="106"/>
      <c r="Z60" s="106"/>
      <c r="AA60" s="106"/>
      <c r="AB60" s="106"/>
      <c r="AC60" s="106"/>
      <c r="AE60" s="195" t="s">
        <v>1</v>
      </c>
      <c r="AF60" s="226">
        <f>SUM(AQ18:AQ23)</f>
        <v>19.861315413749999</v>
      </c>
      <c r="AV60" s="187"/>
    </row>
    <row r="61" spans="2:48" ht="15.65" customHeight="1" x14ac:dyDescent="0.35">
      <c r="B61" s="176" t="s">
        <v>37</v>
      </c>
      <c r="C61" s="131">
        <f t="shared" si="10"/>
        <v>226.48777383134114</v>
      </c>
      <c r="E61" s="106"/>
      <c r="H61" s="106"/>
      <c r="I61" s="106"/>
      <c r="J61" s="106"/>
      <c r="K61" s="106"/>
      <c r="N61" s="106"/>
      <c r="O61" s="106"/>
      <c r="P61" s="106"/>
      <c r="Q61" s="106"/>
      <c r="T61" s="106"/>
      <c r="U61" s="139"/>
      <c r="V61" s="106"/>
      <c r="W61" s="106"/>
      <c r="X61" s="106"/>
      <c r="Z61" s="106"/>
      <c r="AA61" s="106"/>
      <c r="AB61" s="106"/>
      <c r="AC61" s="106"/>
      <c r="AE61" s="195" t="s">
        <v>2</v>
      </c>
      <c r="AF61" s="226">
        <f>AQ30</f>
        <v>35.245691418437495</v>
      </c>
      <c r="AV61" s="187"/>
    </row>
    <row r="62" spans="2:48" ht="15.65" customHeight="1" x14ac:dyDescent="0.35">
      <c r="E62" s="106"/>
      <c r="H62" s="106"/>
      <c r="I62" s="106"/>
      <c r="J62" s="106"/>
      <c r="K62" s="106"/>
      <c r="N62" s="106"/>
      <c r="O62" s="106"/>
      <c r="P62" s="106"/>
      <c r="Q62" s="106"/>
      <c r="T62" s="106"/>
      <c r="U62" s="139"/>
      <c r="V62" s="106"/>
      <c r="W62" s="106"/>
      <c r="X62" s="106"/>
      <c r="Z62" s="106"/>
      <c r="AA62" s="106"/>
      <c r="AB62" s="106"/>
      <c r="AC62" s="106"/>
      <c r="AV62" s="187"/>
    </row>
    <row r="63" spans="2:48" ht="15.65" customHeight="1" x14ac:dyDescent="0.35">
      <c r="AE63" s="20" t="s">
        <v>226</v>
      </c>
      <c r="AF63" s="246"/>
      <c r="AV63" s="187"/>
    </row>
    <row r="64" spans="2:48" ht="15.65" customHeight="1" x14ac:dyDescent="0.35">
      <c r="B64" s="308"/>
      <c r="C64" s="308"/>
      <c r="D64" s="308"/>
      <c r="E64" s="308"/>
      <c r="F64" s="79"/>
      <c r="G64" s="79"/>
      <c r="H64" s="308"/>
      <c r="I64" s="308"/>
      <c r="J64" s="308"/>
      <c r="K64" s="308"/>
      <c r="N64" s="308"/>
      <c r="O64" s="308"/>
      <c r="P64" s="308"/>
      <c r="Q64" s="308"/>
      <c r="T64" s="308"/>
      <c r="U64" s="308"/>
      <c r="V64" s="308"/>
      <c r="W64" s="308"/>
      <c r="X64" s="106"/>
      <c r="Z64" s="12"/>
      <c r="AA64" s="12"/>
      <c r="AB64" s="12"/>
      <c r="AC64" s="12"/>
      <c r="AD64" s="12"/>
      <c r="AE64" s="195" t="s">
        <v>217</v>
      </c>
      <c r="AF64" s="273">
        <f>SUM(AR36:AT36)</f>
        <v>67.807773831341137</v>
      </c>
      <c r="AV64" s="187"/>
    </row>
    <row r="65" spans="2:48" ht="15.65" customHeight="1" x14ac:dyDescent="0.35">
      <c r="B65" s="301" t="s">
        <v>231</v>
      </c>
      <c r="C65" s="302"/>
      <c r="D65" s="302"/>
      <c r="E65" s="302"/>
      <c r="F65" s="19"/>
      <c r="G65" s="19"/>
      <c r="H65" s="301" t="s">
        <v>160</v>
      </c>
      <c r="I65" s="309"/>
      <c r="J65" s="309"/>
      <c r="K65" s="309"/>
      <c r="N65" s="301" t="s">
        <v>161</v>
      </c>
      <c r="O65" s="309"/>
      <c r="P65" s="309"/>
      <c r="Q65" s="309"/>
      <c r="T65" s="301" t="s">
        <v>183</v>
      </c>
      <c r="U65" s="309"/>
      <c r="V65" s="309"/>
      <c r="W65" s="309"/>
      <c r="X65" s="106"/>
      <c r="AE65" s="195" t="s">
        <v>51</v>
      </c>
      <c r="AF65" s="274">
        <f>AU36</f>
        <v>18.68</v>
      </c>
      <c r="AV65" s="187"/>
    </row>
    <row r="66" spans="2:48" ht="15.65" customHeight="1" x14ac:dyDescent="0.35">
      <c r="B66" s="303" t="s">
        <v>207</v>
      </c>
      <c r="C66" s="302"/>
      <c r="D66" s="302"/>
      <c r="E66" s="302"/>
      <c r="F66" s="79"/>
      <c r="G66" s="79"/>
      <c r="H66" s="336" t="s">
        <v>238</v>
      </c>
      <c r="I66" s="309"/>
      <c r="J66" s="309"/>
      <c r="K66" s="309"/>
      <c r="N66" s="311" t="s">
        <v>215</v>
      </c>
      <c r="O66" s="309"/>
      <c r="P66" s="309"/>
      <c r="Q66" s="309"/>
      <c r="T66" s="307" t="s">
        <v>216</v>
      </c>
      <c r="U66" s="309"/>
      <c r="V66" s="309"/>
      <c r="W66" s="309"/>
      <c r="AE66" s="275" t="s">
        <v>73</v>
      </c>
      <c r="AF66" s="274">
        <f>AI56</f>
        <v>140</v>
      </c>
      <c r="AV66" s="187"/>
    </row>
    <row r="67" spans="2:48" ht="15.65" customHeight="1" x14ac:dyDescent="0.35">
      <c r="B67" s="304" t="s">
        <v>230</v>
      </c>
      <c r="C67" s="302"/>
      <c r="D67" s="302"/>
      <c r="E67" s="302"/>
      <c r="F67" s="79"/>
      <c r="G67" s="79"/>
      <c r="H67" s="306" t="s">
        <v>191</v>
      </c>
      <c r="I67" s="309"/>
      <c r="J67" s="309"/>
      <c r="K67" s="309"/>
      <c r="N67" s="308"/>
      <c r="O67" s="308"/>
      <c r="P67" s="308"/>
      <c r="Q67" s="308"/>
      <c r="T67" s="308"/>
      <c r="U67" s="308"/>
      <c r="V67" s="308"/>
      <c r="W67" s="308"/>
      <c r="AE67" s="195" t="s">
        <v>68</v>
      </c>
      <c r="AF67" s="274">
        <f>SUM(AR36:AU36)+AI56</f>
        <v>226.48777383134114</v>
      </c>
      <c r="AV67" s="187"/>
    </row>
    <row r="68" spans="2:48" ht="15.65" customHeight="1" x14ac:dyDescent="0.35">
      <c r="B68" s="302"/>
      <c r="C68" s="302"/>
      <c r="D68" s="302"/>
      <c r="E68" s="302"/>
      <c r="F68" s="100"/>
      <c r="G68" s="100"/>
      <c r="H68" s="308"/>
      <c r="I68" s="308"/>
      <c r="J68" s="308"/>
      <c r="K68" s="308"/>
      <c r="AV68" s="187"/>
    </row>
    <row r="69" spans="2:48" ht="15.5" x14ac:dyDescent="0.35">
      <c r="B69" s="301" t="s">
        <v>106</v>
      </c>
      <c r="C69" s="302"/>
      <c r="D69" s="302"/>
      <c r="E69" s="302"/>
      <c r="F69" s="100"/>
      <c r="G69" s="100"/>
      <c r="AE69" s="15" t="s">
        <v>227</v>
      </c>
      <c r="AQ69" s="61"/>
      <c r="AR69" s="187"/>
      <c r="AS69" s="61"/>
      <c r="AV69" s="187"/>
    </row>
    <row r="70" spans="2:48" ht="15.5" x14ac:dyDescent="0.35">
      <c r="B70" s="305" t="s">
        <v>178</v>
      </c>
      <c r="C70" s="302"/>
      <c r="D70" s="302"/>
      <c r="E70" s="302"/>
      <c r="F70" s="101"/>
      <c r="G70" s="101"/>
      <c r="J70" s="12"/>
      <c r="K70" s="12"/>
      <c r="L70" s="12"/>
      <c r="M70" s="12"/>
      <c r="N70" s="14"/>
      <c r="O70" s="12"/>
      <c r="Q70" s="80"/>
      <c r="R70" s="80"/>
      <c r="S70" s="80"/>
      <c r="AE70" s="195" t="s">
        <v>52</v>
      </c>
      <c r="AF70" s="276">
        <f>SUM(AV18:AV35)</f>
        <v>57.759112416944554</v>
      </c>
      <c r="AQ70" s="61"/>
      <c r="AR70" s="187"/>
      <c r="AS70" s="61"/>
      <c r="AV70" s="187"/>
    </row>
    <row r="71" spans="2:48" ht="15.5" x14ac:dyDescent="0.35">
      <c r="B71" s="302" t="s">
        <v>184</v>
      </c>
      <c r="C71" s="302"/>
      <c r="D71" s="302"/>
      <c r="E71" s="302"/>
      <c r="F71" s="79"/>
      <c r="G71" s="79"/>
      <c r="J71" s="12"/>
      <c r="K71" s="12"/>
      <c r="L71" s="12"/>
      <c r="M71" s="12"/>
    </row>
    <row r="72" spans="2:48" ht="15.5" x14ac:dyDescent="0.35">
      <c r="B72" s="303" t="s">
        <v>202</v>
      </c>
      <c r="C72" s="302"/>
      <c r="D72" s="302"/>
      <c r="E72" s="302"/>
      <c r="F72" s="79"/>
      <c r="G72" s="79"/>
      <c r="J72" s="12"/>
      <c r="K72" s="12"/>
      <c r="L72" s="12"/>
      <c r="M72" s="12"/>
    </row>
    <row r="73" spans="2:48" ht="15.5" x14ac:dyDescent="0.35">
      <c r="B73" s="302"/>
      <c r="C73" s="302"/>
      <c r="D73" s="302"/>
      <c r="E73" s="302"/>
      <c r="J73" s="12"/>
      <c r="K73" s="12"/>
      <c r="L73" s="12"/>
      <c r="M73" s="12"/>
    </row>
    <row r="74" spans="2:48" ht="15.5" x14ac:dyDescent="0.35">
      <c r="B74" s="301" t="s">
        <v>107</v>
      </c>
      <c r="C74" s="302"/>
      <c r="D74" s="302"/>
      <c r="E74" s="302"/>
    </row>
    <row r="75" spans="2:48" ht="15.5" x14ac:dyDescent="0.35">
      <c r="B75" s="302" t="s">
        <v>126</v>
      </c>
      <c r="C75" s="302"/>
      <c r="D75" s="302"/>
      <c r="E75" s="302"/>
    </row>
    <row r="76" spans="2:48" ht="15.5" x14ac:dyDescent="0.35">
      <c r="B76" s="306" t="s">
        <v>190</v>
      </c>
      <c r="C76" s="302"/>
      <c r="D76" s="302"/>
      <c r="E76" s="302"/>
    </row>
    <row r="77" spans="2:48" ht="15.5" x14ac:dyDescent="0.35">
      <c r="B77" s="303" t="s">
        <v>202</v>
      </c>
      <c r="C77" s="302"/>
      <c r="D77" s="302"/>
      <c r="E77" s="302"/>
    </row>
    <row r="78" spans="2:48" ht="15.5" x14ac:dyDescent="0.35">
      <c r="B78" s="303" t="s">
        <v>198</v>
      </c>
      <c r="C78" s="302"/>
      <c r="D78" s="302"/>
      <c r="E78" s="302"/>
      <c r="L78" s="15"/>
      <c r="M78" s="15"/>
    </row>
    <row r="79" spans="2:48" ht="15.5" x14ac:dyDescent="0.35">
      <c r="B79" s="307" t="s">
        <v>214</v>
      </c>
      <c r="C79" s="302"/>
      <c r="D79" s="302"/>
      <c r="E79" s="302"/>
      <c r="L79" s="121"/>
      <c r="M79" s="121"/>
    </row>
    <row r="80" spans="2:48" ht="15.5" x14ac:dyDescent="0.35">
      <c r="B80" s="302"/>
      <c r="C80" s="302"/>
      <c r="D80" s="302"/>
      <c r="E80" s="302"/>
      <c r="L80" s="12"/>
      <c r="M80" s="12"/>
    </row>
    <row r="81" spans="2:13" ht="15.5" x14ac:dyDescent="0.35">
      <c r="B81" s="301" t="s">
        <v>183</v>
      </c>
      <c r="C81" s="302"/>
      <c r="D81" s="302"/>
      <c r="E81" s="302"/>
    </row>
    <row r="82" spans="2:13" ht="15.5" x14ac:dyDescent="0.35">
      <c r="B82" s="307" t="s">
        <v>213</v>
      </c>
      <c r="C82" s="302"/>
      <c r="D82" s="302"/>
      <c r="E82" s="302"/>
    </row>
    <row r="83" spans="2:13" ht="15.5" x14ac:dyDescent="0.35">
      <c r="B83" s="308"/>
      <c r="C83" s="308"/>
      <c r="D83" s="308"/>
      <c r="E83" s="308"/>
    </row>
    <row r="84" spans="2:13" ht="15.5" x14ac:dyDescent="0.35">
      <c r="L84" s="12"/>
      <c r="M84" s="12"/>
    </row>
    <row r="85" spans="2:13" ht="15.5" hidden="1" x14ac:dyDescent="0.35">
      <c r="L85" s="12"/>
      <c r="M85" s="12"/>
    </row>
    <row r="86" spans="2:13" ht="15.5" hidden="1" x14ac:dyDescent="0.35">
      <c r="L86" s="12"/>
      <c r="M86" s="12"/>
    </row>
    <row r="87" spans="2:13" ht="15.5" hidden="1" x14ac:dyDescent="0.35">
      <c r="L87" s="12"/>
      <c r="M87" s="12"/>
    </row>
    <row r="104" spans="9:9" hidden="1" x14ac:dyDescent="0.35">
      <c r="I104" s="1"/>
    </row>
  </sheetData>
  <sheetProtection algorithmName="SHA-512" hashValue="jmMA9XkeHaYUY12cxg92DMW2bCFxzsVPzjs3fpqyTKQF9Aht+bj4gLeQji2latuujHfsASc/0kqNYx/b6qZ4BQ==" saltValue="CRHYQKriydK7aGGMdrzMuQ==" spinCount="100000" sheet="1" objects="1" selectLockedCells="1"/>
  <protectedRanges>
    <protectedRange sqref="C38:C39" name="Range1_1_1"/>
    <protectedRange sqref="C42:C43 C46:C48" name="Range2_1_1"/>
  </protectedRanges>
  <phoneticPr fontId="33" type="noConversion"/>
  <dataValidations count="6">
    <dataValidation type="list" allowBlank="1" showInputMessage="1" showErrorMessage="1" sqref="C43" xr:uid="{B765D02F-601B-4C09-AB1F-FD96BDDCF69D}">
      <formula1>$AQ$4:$AQ$5</formula1>
    </dataValidation>
    <dataValidation type="list" allowBlank="1" showInputMessage="1" showErrorMessage="1" sqref="C42" xr:uid="{512DD507-C2B2-4AF5-ACFD-C9C72D15C1C0}">
      <formula1>$AO$4:$AO$9</formula1>
    </dataValidation>
    <dataValidation type="decimal" errorStyle="warning" allowBlank="1" showInputMessage="1" showErrorMessage="1" errorTitle="Dimension " error="Suggested range:_x000a_Minimum 12 in._x000a_Maximum 96 in." sqref="C46" xr:uid="{F53973CA-4CF9-4E05-82A7-30394E510BBA}">
      <formula1>12</formula1>
      <formula2>96</formula2>
    </dataValidation>
    <dataValidation type="decimal" errorStyle="warning" allowBlank="1" showInputMessage="1" showErrorMessage="1" errorTitle="Dimension" error="Suggested range: _x000a_Minimum 12 in._x000a_Maximum 96 in." sqref="C47" xr:uid="{26723204-60EF-436B-AF19-2C278F6C1093}">
      <formula1>12</formula1>
      <formula2>96</formula2>
    </dataValidation>
    <dataValidation type="decimal" errorStyle="warning" allowBlank="1" showInputMessage="1" showErrorMessage="1" errorTitle="Dimension" error="Suggested range:_x000a_Minimum 5-1/2 in._x000a_Maximum 96 in." sqref="C48" xr:uid="{487C00EB-BFC6-40F1-8AE9-E81F00109FA2}">
      <formula1>5.5</formula1>
      <formula2>96</formula2>
    </dataValidation>
    <dataValidation type="list" allowBlank="1" showInputMessage="1" showErrorMessage="1" sqref="C35" xr:uid="{2EDC2249-8CCF-4AE4-953E-1B1F9CCE440E}">
      <formula1>$AQ$9:$AQ$10</formula1>
    </dataValidation>
  </dataValidations>
  <printOptions horizontalCentered="1"/>
  <pageMargins left="0.23622047244094491" right="0.23622047244094491" top="0.74803149606299213" bottom="0.74803149606299213" header="0.31496062992125984" footer="0.31496062992125984"/>
  <pageSetup scale="68" fitToWidth="0" pageOrder="overThenDown" orientation="portrait" r:id="rId1"/>
  <headerFooter scaleWithDoc="0" alignWithMargins="0">
    <oddHeader>&amp;L&amp;"Arial,Regular"&amp;12Channel Crate Design Tool&amp;C&amp;"Arial,Regular"&amp;12CCI Note 20/1&amp;R&amp;"Arial,Regular"&amp;12Canadian Conservation Institute</oddHeader>
    <oddFooter xml:space="preserve">&amp;C </oddFooter>
  </headerFooter>
  <colBreaks count="4" manualBreakCount="4">
    <brk id="6" max="1048575" man="1"/>
    <brk id="12" max="1048575" man="1"/>
    <brk id="18" max="1048575" man="1"/>
    <brk id="2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32"/>
  <sheetViews>
    <sheetView showGridLines="0" showRowColHeaders="0" zoomScaleNormal="100" workbookViewId="0">
      <selection activeCell="E7" sqref="E7"/>
    </sheetView>
  </sheetViews>
  <sheetFormatPr defaultColWidth="0" defaultRowHeight="14.5" zeroHeight="1" x14ac:dyDescent="0.35"/>
  <cols>
    <col min="1" max="2" width="8.1796875" customWidth="1"/>
    <col min="3" max="3" width="14" customWidth="1"/>
    <col min="4" max="6" width="13" customWidth="1"/>
    <col min="7" max="8" width="11.7265625" customWidth="1"/>
    <col min="9" max="9" width="11.26953125" customWidth="1"/>
    <col min="10" max="10" width="11.7265625" customWidth="1"/>
    <col min="11" max="11" width="13" customWidth="1"/>
    <col min="12" max="13" width="10.7265625" customWidth="1"/>
    <col min="14" max="35" width="0" hidden="1" customWidth="1"/>
    <col min="36" max="16384" width="10.7265625" hidden="1"/>
  </cols>
  <sheetData>
    <row r="1" spans="2:35" ht="20.149999999999999" customHeight="1" x14ac:dyDescent="0.35"/>
    <row r="2" spans="2:35" ht="22.5" customHeight="1" x14ac:dyDescent="0.5">
      <c r="B2" s="73" t="s">
        <v>111</v>
      </c>
      <c r="C2" s="7"/>
      <c r="D2" s="7"/>
    </row>
    <row r="3" spans="2:35" ht="18" customHeight="1" x14ac:dyDescent="0.35">
      <c r="B3" s="91" t="s">
        <v>142</v>
      </c>
      <c r="C3" s="12"/>
      <c r="D3" s="12"/>
      <c r="E3" s="12"/>
      <c r="F3" s="12"/>
      <c r="G3" s="12"/>
      <c r="H3" s="12"/>
      <c r="I3" s="12"/>
      <c r="J3" s="12"/>
      <c r="K3" s="12"/>
      <c r="P3" s="2"/>
    </row>
    <row r="4" spans="2:35" ht="18" customHeight="1" x14ac:dyDescent="0.35">
      <c r="B4" s="47"/>
      <c r="C4" s="12"/>
      <c r="D4" s="12"/>
      <c r="E4" s="12"/>
      <c r="F4" s="12"/>
      <c r="G4" s="12"/>
      <c r="H4" s="12"/>
      <c r="I4" s="12"/>
      <c r="J4" s="12"/>
      <c r="K4" s="12"/>
      <c r="P4" s="2"/>
    </row>
    <row r="5" spans="2:35" ht="20.149999999999999" customHeight="1" x14ac:dyDescent="0.35">
      <c r="B5" s="15" t="s">
        <v>217</v>
      </c>
      <c r="C5" s="17"/>
      <c r="D5" s="17"/>
      <c r="E5" s="17"/>
      <c r="F5" s="17"/>
      <c r="G5" s="17"/>
      <c r="H5" s="17"/>
      <c r="I5" s="17"/>
      <c r="J5" s="17"/>
      <c r="K5" s="12"/>
      <c r="P5" s="6"/>
    </row>
    <row r="6" spans="2:35" ht="32.5" customHeight="1" x14ac:dyDescent="0.35">
      <c r="B6" s="147" t="s">
        <v>194</v>
      </c>
      <c r="C6" s="11"/>
      <c r="D6" s="69" t="s">
        <v>192</v>
      </c>
      <c r="E6" s="69" t="s">
        <v>193</v>
      </c>
      <c r="F6" s="69" t="s">
        <v>112</v>
      </c>
      <c r="G6" s="69" t="s">
        <v>127</v>
      </c>
      <c r="H6" s="69" t="s">
        <v>113</v>
      </c>
      <c r="I6" s="69" t="s">
        <v>114</v>
      </c>
      <c r="J6" s="69" t="s">
        <v>115</v>
      </c>
      <c r="K6" s="69" t="s">
        <v>116</v>
      </c>
      <c r="L6" s="69" t="s">
        <v>117</v>
      </c>
      <c r="AH6" s="338"/>
      <c r="AI6" s="338"/>
    </row>
    <row r="7" spans="2:35" ht="15.5" x14ac:dyDescent="0.35">
      <c r="B7" s="87" t="s">
        <v>1</v>
      </c>
      <c r="C7" s="38"/>
      <c r="D7" s="148">
        <f>E7*25.4</f>
        <v>18.256249999999998</v>
      </c>
      <c r="E7" s="119">
        <v>0.71875</v>
      </c>
      <c r="F7" s="112">
        <f>G7/2.2</f>
        <v>27.727272727272727</v>
      </c>
      <c r="G7" s="110">
        <v>61</v>
      </c>
      <c r="H7" s="26">
        <v>65</v>
      </c>
      <c r="I7" s="118">
        <f>K7*25.4</f>
        <v>2438.3999999999996</v>
      </c>
      <c r="J7" s="118">
        <f>L7*25.4</f>
        <v>1219.1999999999998</v>
      </c>
      <c r="K7" s="16">
        <v>96</v>
      </c>
      <c r="L7" s="16">
        <v>48</v>
      </c>
      <c r="AH7" s="338"/>
      <c r="AI7" s="338"/>
    </row>
    <row r="8" spans="2:35" ht="15.5" x14ac:dyDescent="0.35">
      <c r="B8" s="30" t="s">
        <v>2</v>
      </c>
      <c r="C8" s="31"/>
      <c r="D8" s="149">
        <f>E8*25.4</f>
        <v>15.875</v>
      </c>
      <c r="E8" s="120">
        <v>0.625</v>
      </c>
      <c r="F8" s="113">
        <f>G8/2.2</f>
        <v>5.7727272727272716</v>
      </c>
      <c r="G8" s="111">
        <v>12.7</v>
      </c>
      <c r="H8" s="27">
        <v>24</v>
      </c>
      <c r="I8" s="118">
        <f>K8*25.4</f>
        <v>2438.3999999999996</v>
      </c>
      <c r="J8" s="118">
        <f>L8*25.4</f>
        <v>1219.1999999999998</v>
      </c>
      <c r="K8" s="16">
        <v>96</v>
      </c>
      <c r="L8" s="16">
        <v>48</v>
      </c>
      <c r="AH8" s="338"/>
      <c r="AI8" s="338"/>
    </row>
    <row r="9" spans="2:35" ht="15.5" x14ac:dyDescent="0.35">
      <c r="B9" s="12"/>
      <c r="C9" s="12"/>
      <c r="D9" s="12"/>
      <c r="E9" s="12"/>
      <c r="F9" s="12"/>
      <c r="G9" s="12"/>
      <c r="H9" s="12"/>
      <c r="I9" s="12"/>
      <c r="J9" s="12"/>
      <c r="K9" s="12"/>
      <c r="AH9" s="3"/>
      <c r="AI9" s="3"/>
    </row>
    <row r="10" spans="2:35" ht="15.5" x14ac:dyDescent="0.35">
      <c r="B10" s="337" t="s">
        <v>51</v>
      </c>
      <c r="C10" s="337"/>
      <c r="D10" s="337"/>
      <c r="E10" s="337"/>
      <c r="F10" s="337"/>
      <c r="G10" s="337"/>
      <c r="H10" s="337"/>
      <c r="I10" s="337"/>
      <c r="J10" s="337"/>
      <c r="K10" s="14"/>
      <c r="AH10" s="3"/>
      <c r="AI10" s="3"/>
    </row>
    <row r="11" spans="2:35" ht="31" x14ac:dyDescent="0.35">
      <c r="B11" s="28" t="s">
        <v>3</v>
      </c>
      <c r="C11" s="23" t="s">
        <v>133</v>
      </c>
      <c r="D11" s="10"/>
      <c r="E11" s="10"/>
      <c r="F11" s="10"/>
      <c r="G11" s="11"/>
      <c r="H11" s="29" t="s">
        <v>68</v>
      </c>
      <c r="I11" s="68" t="s">
        <v>119</v>
      </c>
      <c r="J11" s="68" t="s">
        <v>118</v>
      </c>
      <c r="K11" s="14"/>
      <c r="AH11" s="3"/>
      <c r="AI11" s="3"/>
    </row>
    <row r="12" spans="2:35" ht="15.5" x14ac:dyDescent="0.35">
      <c r="B12" s="87">
        <v>8</v>
      </c>
      <c r="C12" s="150" t="s">
        <v>199</v>
      </c>
      <c r="D12" s="38"/>
      <c r="E12" s="38"/>
      <c r="F12" s="38"/>
      <c r="G12" s="85"/>
      <c r="H12" s="27">
        <v>0.06</v>
      </c>
      <c r="I12" s="115">
        <f>J12*453.6</f>
        <v>1.9476904458211202</v>
      </c>
      <c r="J12" s="114">
        <v>4.2938501892000004E-3</v>
      </c>
      <c r="K12" s="12"/>
      <c r="AH12" s="3"/>
      <c r="AI12" s="3"/>
    </row>
    <row r="13" spans="2:35" ht="15.5" x14ac:dyDescent="0.35">
      <c r="B13" s="92">
        <v>9</v>
      </c>
      <c r="C13" s="182" t="s">
        <v>225</v>
      </c>
      <c r="D13" s="36"/>
      <c r="E13" s="36"/>
      <c r="F13" s="36"/>
      <c r="G13" s="93"/>
      <c r="H13" s="27">
        <v>0.17</v>
      </c>
      <c r="I13" s="115">
        <f t="shared" ref="I13:I20" si="0">J13*453.6</f>
        <v>22.093801364904198</v>
      </c>
      <c r="J13" s="114">
        <v>4.8707674966720009E-2</v>
      </c>
      <c r="K13" s="12"/>
    </row>
    <row r="14" spans="2:35" ht="15.5" x14ac:dyDescent="0.35">
      <c r="B14" s="87">
        <v>10</v>
      </c>
      <c r="C14" s="181" t="s">
        <v>224</v>
      </c>
      <c r="D14" s="38"/>
      <c r="E14" s="38"/>
      <c r="F14" s="38"/>
      <c r="G14" s="85"/>
      <c r="H14" s="27">
        <v>0.17</v>
      </c>
      <c r="I14" s="115">
        <f t="shared" si="0"/>
        <v>4.6045399770437765</v>
      </c>
      <c r="J14" s="114">
        <v>1.0151102242160001E-2</v>
      </c>
      <c r="K14" s="12"/>
      <c r="AH14" s="338"/>
      <c r="AI14" s="338"/>
    </row>
    <row r="15" spans="2:35" ht="15.5" x14ac:dyDescent="0.35">
      <c r="B15" s="92">
        <v>11</v>
      </c>
      <c r="C15" s="108" t="s">
        <v>170</v>
      </c>
      <c r="D15" s="94"/>
      <c r="E15" s="94"/>
      <c r="F15" s="36"/>
      <c r="G15" s="93"/>
      <c r="H15" s="27">
        <v>0.14000000000000001</v>
      </c>
      <c r="I15" s="115">
        <f t="shared" si="0"/>
        <v>4.1750492633498881</v>
      </c>
      <c r="J15" s="114">
        <v>9.2042532260799993E-3</v>
      </c>
      <c r="K15" s="12"/>
    </row>
    <row r="16" spans="2:35" ht="15.5" x14ac:dyDescent="0.35">
      <c r="B16" s="87">
        <v>12</v>
      </c>
      <c r="C16" s="150" t="s">
        <v>200</v>
      </c>
      <c r="D16" s="88"/>
      <c r="E16" s="38"/>
      <c r="F16" s="38"/>
      <c r="G16" s="85"/>
      <c r="H16" s="27">
        <v>5.6000000000000001E-2</v>
      </c>
      <c r="I16" s="115">
        <f t="shared" si="0"/>
        <v>3.2461507430352006</v>
      </c>
      <c r="J16" s="114">
        <v>7.1564169820000009E-3</v>
      </c>
      <c r="K16" s="12"/>
    </row>
    <row r="17" spans="2:11" ht="15.5" x14ac:dyDescent="0.35">
      <c r="B17" s="92">
        <v>14</v>
      </c>
      <c r="C17" s="109" t="s">
        <v>171</v>
      </c>
      <c r="D17" s="94"/>
      <c r="E17" s="95"/>
      <c r="F17" s="36"/>
      <c r="G17" s="93"/>
      <c r="H17" s="27">
        <v>0.34</v>
      </c>
      <c r="I17" s="115">
        <f t="shared" si="0"/>
        <v>2.3971574717798401</v>
      </c>
      <c r="J17" s="114">
        <v>5.2847386943999999E-3</v>
      </c>
      <c r="K17" s="12"/>
    </row>
    <row r="18" spans="2:11" ht="15.5" x14ac:dyDescent="0.35">
      <c r="B18" s="87">
        <v>15</v>
      </c>
      <c r="C18" s="151" t="s">
        <v>201</v>
      </c>
      <c r="D18" s="88"/>
      <c r="E18" s="89"/>
      <c r="F18" s="38"/>
      <c r="G18" s="85"/>
      <c r="H18" s="27">
        <v>0.12</v>
      </c>
      <c r="I18" s="115">
        <f t="shared" si="0"/>
        <v>1.188590579757504</v>
      </c>
      <c r="J18" s="114">
        <v>2.6203496026400001E-3</v>
      </c>
      <c r="K18" s="12"/>
    </row>
    <row r="19" spans="2:11" ht="15.5" x14ac:dyDescent="0.35">
      <c r="B19" s="92">
        <v>16</v>
      </c>
      <c r="C19" s="153" t="s">
        <v>205</v>
      </c>
      <c r="D19" s="94"/>
      <c r="E19" s="96"/>
      <c r="F19" s="36"/>
      <c r="G19" s="93"/>
      <c r="H19" s="27">
        <v>0.2</v>
      </c>
      <c r="I19" s="115">
        <f t="shared" si="0"/>
        <v>8.3301222144349456</v>
      </c>
      <c r="J19" s="114">
        <v>1.8364466963040001E-2</v>
      </c>
      <c r="K19" s="12"/>
    </row>
    <row r="20" spans="2:11" ht="15.5" x14ac:dyDescent="0.35">
      <c r="B20" s="81">
        <v>17</v>
      </c>
      <c r="C20" s="152" t="s">
        <v>206</v>
      </c>
      <c r="D20" s="82"/>
      <c r="E20" s="82"/>
      <c r="F20" s="82"/>
      <c r="G20" s="83"/>
      <c r="H20" s="27">
        <v>1.1000000000000001</v>
      </c>
      <c r="I20" s="115">
        <f t="shared" si="0"/>
        <v>2.1973943491315202</v>
      </c>
      <c r="J20" s="114">
        <v>4.8443438032000005E-3</v>
      </c>
      <c r="K20" s="12"/>
    </row>
    <row r="21" spans="2:11" ht="15.65" customHeight="1" x14ac:dyDescent="0.35">
      <c r="B21" s="12"/>
      <c r="C21" s="12"/>
      <c r="D21" s="12"/>
      <c r="E21" s="12"/>
      <c r="F21" s="12"/>
      <c r="G21" s="12"/>
      <c r="H21" s="12"/>
      <c r="I21" s="32"/>
      <c r="J21" s="12"/>
      <c r="K21" s="12"/>
    </row>
    <row r="22" spans="2:11" ht="15.5" x14ac:dyDescent="0.35">
      <c r="B22" s="337" t="s">
        <v>129</v>
      </c>
      <c r="C22" s="337"/>
      <c r="D22" s="337"/>
      <c r="E22" s="337"/>
      <c r="F22" s="337"/>
      <c r="G22" s="337"/>
      <c r="H22" s="337"/>
      <c r="I22" s="337"/>
      <c r="J22" s="337"/>
      <c r="K22" s="12"/>
    </row>
    <row r="23" spans="2:11" ht="31" x14ac:dyDescent="0.35">
      <c r="B23" s="90" t="s">
        <v>46</v>
      </c>
      <c r="C23" s="33" t="s">
        <v>133</v>
      </c>
      <c r="D23" s="34"/>
      <c r="E23" s="34"/>
      <c r="F23" s="8" t="s">
        <v>68</v>
      </c>
      <c r="G23" s="69" t="s">
        <v>120</v>
      </c>
      <c r="H23" s="69" t="s">
        <v>128</v>
      </c>
      <c r="I23" s="69" t="s">
        <v>121</v>
      </c>
      <c r="J23" s="69" t="s">
        <v>118</v>
      </c>
    </row>
    <row r="24" spans="2:11" ht="15.5" x14ac:dyDescent="0.35">
      <c r="B24" s="37">
        <v>7</v>
      </c>
      <c r="C24" s="146" t="s">
        <v>195</v>
      </c>
      <c r="D24" s="38"/>
      <c r="E24" s="38"/>
      <c r="F24" s="39">
        <v>3.45</v>
      </c>
      <c r="G24" s="116">
        <f>H24*0.3048</f>
        <v>2.4384000000000001</v>
      </c>
      <c r="H24" s="16">
        <v>8</v>
      </c>
      <c r="I24" s="117">
        <f>J24*0.45359237</f>
        <v>2.2679618500000003</v>
      </c>
      <c r="J24" s="40">
        <v>5</v>
      </c>
    </row>
    <row r="25" spans="2:11" ht="15.65" customHeight="1" x14ac:dyDescent="0.35">
      <c r="B25" s="35">
        <v>18</v>
      </c>
      <c r="C25" s="35" t="s">
        <v>94</v>
      </c>
      <c r="D25" s="36"/>
      <c r="E25" s="36"/>
      <c r="F25" s="39">
        <v>12</v>
      </c>
      <c r="G25" s="116">
        <f>H25*0.3048</f>
        <v>6.0960000000000001</v>
      </c>
      <c r="H25" s="16">
        <v>20</v>
      </c>
      <c r="I25" s="117">
        <f>J25*0.45359237</f>
        <v>1.3607771100000001</v>
      </c>
      <c r="J25" s="40">
        <v>3</v>
      </c>
    </row>
    <row r="26" spans="2:11" ht="15.5" x14ac:dyDescent="0.35">
      <c r="B26" s="12"/>
      <c r="C26" s="12"/>
      <c r="D26" s="12"/>
      <c r="E26" s="12"/>
      <c r="F26" s="12"/>
      <c r="G26" s="12"/>
      <c r="H26" s="12"/>
      <c r="I26" s="12"/>
      <c r="J26" s="12"/>
    </row>
    <row r="27" spans="2:11" ht="15.5" x14ac:dyDescent="0.35">
      <c r="B27" s="337" t="s">
        <v>73</v>
      </c>
      <c r="C27" s="337"/>
      <c r="D27" s="337"/>
      <c r="E27" s="337"/>
      <c r="F27" s="337"/>
      <c r="G27" s="337"/>
      <c r="H27" s="337"/>
      <c r="I27" s="337"/>
      <c r="J27" s="337"/>
    </row>
    <row r="28" spans="2:11" ht="15.5" x14ac:dyDescent="0.35">
      <c r="B28" s="84" t="s">
        <v>122</v>
      </c>
      <c r="C28" s="38"/>
      <c r="D28" s="38"/>
      <c r="E28" s="38"/>
      <c r="F28" s="38"/>
      <c r="G28" s="38"/>
      <c r="H28" s="38"/>
      <c r="I28" s="85"/>
      <c r="J28" s="27">
        <v>28</v>
      </c>
    </row>
    <row r="29" spans="2:11" ht="15.5" x14ac:dyDescent="0.35">
      <c r="B29" s="97" t="s">
        <v>130</v>
      </c>
      <c r="C29" s="36"/>
      <c r="D29" s="36"/>
      <c r="E29" s="36"/>
      <c r="F29" s="36"/>
      <c r="G29" s="36"/>
      <c r="H29" s="36"/>
      <c r="I29" s="93"/>
      <c r="J29" s="16">
        <v>4</v>
      </c>
    </row>
    <row r="30" spans="2:11" ht="15.5" x14ac:dyDescent="0.35">
      <c r="B30" s="86" t="s">
        <v>131</v>
      </c>
      <c r="C30" s="38"/>
      <c r="D30" s="38"/>
      <c r="E30" s="38"/>
      <c r="F30" s="38"/>
      <c r="G30" s="38"/>
      <c r="H30" s="38"/>
      <c r="I30" s="85"/>
      <c r="J30" s="16">
        <v>0.5</v>
      </c>
    </row>
    <row r="31" spans="2:11" ht="15.5" x14ac:dyDescent="0.35">
      <c r="B31" s="74" t="s">
        <v>132</v>
      </c>
      <c r="C31" s="31"/>
      <c r="D31" s="31"/>
      <c r="E31" s="31"/>
      <c r="F31" s="31"/>
      <c r="G31" s="31"/>
      <c r="H31" s="31"/>
      <c r="I31" s="31"/>
      <c r="J31" s="16">
        <v>0.5</v>
      </c>
    </row>
    <row r="32" spans="2:11" x14ac:dyDescent="0.35"/>
  </sheetData>
  <sheetProtection selectLockedCells="1"/>
  <protectedRanges>
    <protectedRange sqref="J28:J31" name="Range5"/>
    <protectedRange sqref="J24:J25 H24:H25" name="Range4"/>
    <protectedRange sqref="F24:F25" name="Range3"/>
    <protectedRange sqref="H12:I20" name="Range2"/>
    <protectedRange sqref="F7:L8" name="Range1"/>
  </protectedRanges>
  <mergeCells count="7">
    <mergeCell ref="B22:J22"/>
    <mergeCell ref="B27:J27"/>
    <mergeCell ref="AH14:AI14"/>
    <mergeCell ref="B10:J10"/>
    <mergeCell ref="AH6:AI6"/>
    <mergeCell ref="AH7:AI7"/>
    <mergeCell ref="AH8:AI8"/>
  </mergeCells>
  <dataValidations count="1">
    <dataValidation type="whole" allowBlank="1" showInputMessage="1" showErrorMessage="1" sqref="J28" xr:uid="{00000000-0002-0000-0400-000000000000}">
      <formula1>0</formula1>
      <formula2>100</formula2>
    </dataValidation>
  </dataValidations>
  <printOptions horizontalCentered="1"/>
  <pageMargins left="0.70866141732283472" right="0.70866141732283472" top="0.74803149606299213" bottom="0.74803149606299213" header="0.31496062992125984" footer="0.31496062992125984"/>
  <pageSetup scale="69" orientation="portrait" r:id="rId1"/>
  <headerFooter>
    <oddHeader>&amp;L&amp;20CCI Channel Crate &amp;R&amp;20Note  1/10</oddHeader>
    <oddFooter>&amp;C&amp;P</oddFooter>
  </headerFooter>
  <ignoredErrors>
    <ignoredError sqref="G24:G25 I12:I2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SI units</vt:lpstr>
      <vt:lpstr>Imperial units</vt:lpstr>
      <vt:lpstr>Data</vt:lpstr>
      <vt:lpstr>Data!Print_Area</vt:lpstr>
      <vt:lpstr>'Imperial units'!Print_Area</vt:lpstr>
      <vt:lpstr>Introduction!Print_Area</vt:lpstr>
      <vt:lpstr>'SI units'!Print_Area</vt:lpstr>
    </vt:vector>
  </TitlesOfParts>
  <Company>PCH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Marcon</dc:creator>
  <cp:lastModifiedBy>Paul Marcon</cp:lastModifiedBy>
  <cp:lastPrinted>2024-01-19T19:21:15Z</cp:lastPrinted>
  <dcterms:created xsi:type="dcterms:W3CDTF">2020-04-20T15:04:23Z</dcterms:created>
  <dcterms:modified xsi:type="dcterms:W3CDTF">2024-01-24T02:32:16Z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db4b7a6-9caa-4b32-95da-d5cfefd952da_Enabled">
    <vt:lpwstr>true</vt:lpwstr>
  </property>
  <property fmtid="{D5CDD505-2E9C-101B-9397-08002B2CF9AE}" pid="3" name="MSIP_Label_adb4b7a6-9caa-4b32-95da-d5cfefd952da_SetDate">
    <vt:lpwstr>2023-03-02T16:36:41Z</vt:lpwstr>
  </property>
  <property fmtid="{D5CDD505-2E9C-101B-9397-08002B2CF9AE}" pid="4" name="MSIP_Label_adb4b7a6-9caa-4b32-95da-d5cfefd952da_Method">
    <vt:lpwstr>Standard</vt:lpwstr>
  </property>
  <property fmtid="{D5CDD505-2E9C-101B-9397-08002B2CF9AE}" pid="5" name="MSIP_Label_adb4b7a6-9caa-4b32-95da-d5cfefd952da_Name">
    <vt:lpwstr>Unclassified</vt:lpwstr>
  </property>
  <property fmtid="{D5CDD505-2E9C-101B-9397-08002B2CF9AE}" pid="6" name="MSIP_Label_adb4b7a6-9caa-4b32-95da-d5cfefd952da_SiteId">
    <vt:lpwstr>7969f40a-ef10-4cad-a9c2-ea2ca603743a</vt:lpwstr>
  </property>
  <property fmtid="{D5CDD505-2E9C-101B-9397-08002B2CF9AE}" pid="7" name="MSIP_Label_adb4b7a6-9caa-4b32-95da-d5cfefd952da_ActionId">
    <vt:lpwstr>58e4d020-aa68-4325-bd7f-484ab213947a</vt:lpwstr>
  </property>
  <property fmtid="{D5CDD505-2E9C-101B-9397-08002B2CF9AE}" pid="8" name="MSIP_Label_adb4b7a6-9caa-4b32-95da-d5cfefd952da_ContentBits">
    <vt:lpwstr>0</vt:lpwstr>
  </property>
</Properties>
</file>