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PCH-LorrainMA\Documents\calculators\"/>
    </mc:Choice>
  </mc:AlternateContent>
  <xr:revisionPtr revIDLastSave="0" documentId="8_{C7847D9D-846D-4E9C-AAF0-41C10172AE85}" xr6:coauthVersionLast="47" xr6:coauthVersionMax="47" xr10:uidLastSave="{00000000-0000-0000-0000-000000000000}"/>
  <bookViews>
    <workbookView xWindow="25390" yWindow="564" windowWidth="16589" windowHeight="9032"/>
  </bookViews>
  <sheets>
    <sheet name="Introduction" sheetId="5" r:id="rId1"/>
    <sheet name="1. RH fluctuations" sheetId="2" r:id="rId2"/>
    <sheet name="2. Keep RH low" sheetId="3" r:id="rId3"/>
    <sheet name="3. Keep RH high" sheetId="4" r:id="rId4"/>
    <sheet name="4. Bibliography" sheetId="7" r:id="rId5"/>
    <sheet name="Intermediate"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0" i="6" l="1"/>
  <c r="AH3" i="6"/>
  <c r="AH4" i="6"/>
  <c r="C26" i="6"/>
  <c r="C25" i="6"/>
  <c r="C27" i="6"/>
  <c r="C24" i="6"/>
  <c r="AN4" i="6"/>
  <c r="AN3" i="6"/>
  <c r="AQ8" i="6"/>
  <c r="AR8" i="6"/>
  <c r="T10" i="6"/>
  <c r="S4" i="6"/>
  <c r="Y4" i="6"/>
  <c r="AA4" i="6"/>
  <c r="Y3" i="6"/>
  <c r="Z3" i="6"/>
  <c r="C15" i="6"/>
  <c r="C14" i="6"/>
  <c r="C13" i="6"/>
  <c r="AB8" i="6"/>
  <c r="AB9" i="6"/>
  <c r="AB10" i="6"/>
  <c r="AB11" i="6"/>
  <c r="AB12" i="6"/>
  <c r="AB13" i="6"/>
  <c r="AB14" i="6"/>
  <c r="AB15" i="6"/>
  <c r="AB16" i="6"/>
  <c r="AB17" i="6"/>
  <c r="AB18" i="6"/>
  <c r="AK8" i="6"/>
  <c r="AK9" i="6"/>
  <c r="AL9" i="6"/>
  <c r="V8" i="6"/>
  <c r="V9" i="6"/>
  <c r="V10" i="6"/>
  <c r="V11" i="6"/>
  <c r="V12" i="6"/>
  <c r="V13" i="6"/>
  <c r="V14" i="6"/>
  <c r="V15" i="6"/>
  <c r="V16" i="6"/>
  <c r="V17" i="6"/>
  <c r="V18" i="6"/>
  <c r="V19" i="6"/>
  <c r="V20" i="6"/>
  <c r="V21" i="6"/>
  <c r="C8" i="6"/>
  <c r="C7" i="6"/>
  <c r="C6" i="6"/>
  <c r="C9" i="6"/>
  <c r="M13" i="6"/>
  <c r="M14" i="6"/>
  <c r="M8" i="6"/>
  <c r="L3" i="6"/>
  <c r="L4" i="6"/>
  <c r="M10" i="6"/>
  <c r="R4" i="6"/>
  <c r="AG4" i="6"/>
  <c r="C19" i="6"/>
  <c r="C18" i="6"/>
  <c r="C17" i="6"/>
  <c r="D21" i="3"/>
  <c r="C28" i="6"/>
  <c r="C29" i="6"/>
  <c r="D31" i="4"/>
  <c r="C30" i="6"/>
  <c r="C5" i="6"/>
  <c r="AK10" i="6"/>
  <c r="AL10" i="6"/>
  <c r="AK11" i="6"/>
  <c r="AA3" i="6"/>
  <c r="W12" i="6"/>
  <c r="AP4" i="6"/>
  <c r="S3" i="6"/>
  <c r="AL8" i="6"/>
  <c r="AL7" i="6"/>
  <c r="AR7" i="6"/>
  <c r="D26" i="4"/>
  <c r="D27" i="4"/>
  <c r="D25" i="4"/>
  <c r="D41" i="4"/>
  <c r="D40" i="4"/>
  <c r="AS8" i="6"/>
  <c r="D21" i="4"/>
  <c r="D20" i="4"/>
  <c r="AP3" i="6"/>
  <c r="D36" i="3"/>
  <c r="D35" i="2"/>
  <c r="D36" i="2"/>
  <c r="D20" i="2"/>
  <c r="D22" i="4"/>
  <c r="D34" i="2"/>
  <c r="D36" i="4"/>
  <c r="D37" i="4"/>
  <c r="D35" i="4"/>
  <c r="C16" i="6"/>
  <c r="T7" i="6"/>
  <c r="U12" i="6"/>
  <c r="V22" i="6"/>
  <c r="V23" i="6"/>
  <c r="V24" i="6"/>
  <c r="V25" i="6"/>
  <c r="V26" i="6"/>
  <c r="V27" i="6"/>
  <c r="V28" i="6"/>
  <c r="V29" i="6"/>
  <c r="V30" i="6"/>
  <c r="V31" i="6"/>
  <c r="V32" i="6"/>
  <c r="V33" i="6"/>
  <c r="V34" i="6"/>
  <c r="V35" i="6"/>
  <c r="V36" i="6"/>
  <c r="V37" i="6"/>
  <c r="V38" i="6"/>
  <c r="W21" i="6"/>
  <c r="U21" i="6"/>
  <c r="D20" i="3"/>
  <c r="D22" i="3"/>
  <c r="AB19" i="6"/>
  <c r="AB20" i="6"/>
  <c r="AB21" i="6"/>
  <c r="AB22" i="6"/>
  <c r="AB23" i="6"/>
  <c r="AB24" i="6"/>
  <c r="AB25" i="6"/>
  <c r="AB26" i="6"/>
  <c r="AB27" i="6"/>
  <c r="AB28" i="6"/>
  <c r="AC18" i="6"/>
  <c r="D19" i="2"/>
  <c r="D21" i="2"/>
  <c r="D37" i="3"/>
  <c r="D35" i="3"/>
  <c r="AK12" i="6"/>
  <c r="AL11" i="6"/>
  <c r="W36" i="6"/>
  <c r="U36" i="6"/>
  <c r="W28" i="6"/>
  <c r="U28" i="6"/>
  <c r="AC16" i="6"/>
  <c r="AD16" i="6"/>
  <c r="W7" i="6"/>
  <c r="AC22" i="6"/>
  <c r="AC7" i="6"/>
  <c r="AC12" i="6"/>
  <c r="W34" i="6"/>
  <c r="W30" i="6"/>
  <c r="U30" i="6"/>
  <c r="W25" i="6"/>
  <c r="U25" i="6"/>
  <c r="W17" i="6"/>
  <c r="U17" i="6"/>
  <c r="AC8" i="6"/>
  <c r="W8" i="6"/>
  <c r="U8" i="6"/>
  <c r="AD27" i="6"/>
  <c r="AC11" i="6"/>
  <c r="AD11" i="6"/>
  <c r="AC10" i="6"/>
  <c r="W20" i="6"/>
  <c r="U20" i="6"/>
  <c r="W26" i="6"/>
  <c r="U26" i="6"/>
  <c r="AC23" i="6"/>
  <c r="AC24" i="6"/>
  <c r="W10" i="6"/>
  <c r="U10" i="6"/>
  <c r="AC9" i="6"/>
  <c r="W13" i="6"/>
  <c r="U13" i="6"/>
  <c r="AC26" i="6"/>
  <c r="W14" i="6"/>
  <c r="U14" i="6"/>
  <c r="W35" i="6"/>
  <c r="U35" i="6"/>
  <c r="AD24" i="6"/>
  <c r="W37" i="6"/>
  <c r="U37" i="6"/>
  <c r="W32" i="6"/>
  <c r="U32" i="6"/>
  <c r="W24" i="6"/>
  <c r="U24" i="6"/>
  <c r="AC19" i="6"/>
  <c r="W18" i="6"/>
  <c r="U18" i="6"/>
  <c r="AC21" i="6"/>
  <c r="W33" i="6"/>
  <c r="U33" i="6"/>
  <c r="W27" i="6"/>
  <c r="U27" i="6"/>
  <c r="W16" i="6"/>
  <c r="U16" i="6"/>
  <c r="AD23" i="6"/>
  <c r="AD9" i="6"/>
  <c r="AD26" i="6"/>
  <c r="W19" i="6"/>
  <c r="U19" i="6"/>
  <c r="O130" i="6"/>
  <c r="O149" i="6"/>
  <c r="W29" i="6"/>
  <c r="U29" i="6"/>
  <c r="AC27" i="6"/>
  <c r="D40" i="2"/>
  <c r="D39" i="2"/>
  <c r="M7" i="6"/>
  <c r="AO3" i="6"/>
  <c r="AO4" i="6"/>
  <c r="W23" i="6"/>
  <c r="U23" i="6"/>
  <c r="AC17" i="6"/>
  <c r="AD17" i="6"/>
  <c r="AS7" i="6"/>
  <c r="O48" i="6"/>
  <c r="O125" i="6"/>
  <c r="O155" i="6"/>
  <c r="AD7" i="6"/>
  <c r="W15" i="6"/>
  <c r="U15" i="6"/>
  <c r="AC25" i="6"/>
  <c r="AD19" i="6"/>
  <c r="W31" i="6"/>
  <c r="U31" i="6"/>
  <c r="M16" i="6"/>
  <c r="D31" i="3"/>
  <c r="D41" i="3"/>
  <c r="D40" i="3"/>
  <c r="O75" i="6"/>
  <c r="O143" i="6"/>
  <c r="O32" i="6"/>
  <c r="O121" i="6"/>
  <c r="O99" i="6"/>
  <c r="O184" i="6"/>
  <c r="O168" i="6"/>
  <c r="O24" i="6"/>
  <c r="O90" i="6"/>
  <c r="O61" i="6"/>
  <c r="O55" i="6"/>
  <c r="O15" i="6"/>
  <c r="O142" i="6"/>
  <c r="O62" i="6"/>
  <c r="O93" i="6"/>
  <c r="O167" i="6"/>
  <c r="O178" i="6"/>
  <c r="O17" i="6"/>
  <c r="O59" i="6"/>
  <c r="O83" i="6"/>
  <c r="O124" i="6"/>
  <c r="O94" i="6"/>
  <c r="O173" i="6"/>
  <c r="O37" i="6"/>
  <c r="O164" i="6"/>
  <c r="O105" i="6"/>
  <c r="O110" i="6"/>
  <c r="O56" i="6"/>
  <c r="O141" i="6"/>
  <c r="O39" i="6"/>
  <c r="O179" i="6"/>
  <c r="O27" i="6"/>
  <c r="O68" i="6"/>
  <c r="O133" i="6"/>
  <c r="O58" i="6"/>
  <c r="O45" i="6"/>
  <c r="O152" i="6"/>
  <c r="O156" i="6"/>
  <c r="O123" i="6"/>
  <c r="O162" i="6"/>
  <c r="O118" i="6"/>
  <c r="O98" i="6"/>
  <c r="O69" i="6"/>
  <c r="O107" i="6"/>
  <c r="O88" i="6"/>
  <c r="O71" i="6"/>
  <c r="O78" i="6"/>
  <c r="O115" i="6"/>
  <c r="O111" i="6"/>
  <c r="O116" i="6"/>
  <c r="O7" i="6"/>
  <c r="O150" i="6"/>
  <c r="O170" i="6"/>
  <c r="O172" i="6"/>
  <c r="O108" i="6"/>
  <c r="O23" i="6"/>
  <c r="O187" i="6"/>
  <c r="O140" i="6"/>
  <c r="AI7" i="6"/>
  <c r="C31" i="6"/>
  <c r="AP7" i="6"/>
  <c r="AC14" i="6"/>
  <c r="AD14" i="6"/>
  <c r="AC13" i="6"/>
  <c r="AD13" i="6"/>
  <c r="W9" i="6"/>
  <c r="U9" i="6"/>
  <c r="O151" i="6"/>
  <c r="O14" i="6"/>
  <c r="AD21" i="6"/>
  <c r="O128" i="6"/>
  <c r="O166" i="6"/>
  <c r="D32" i="4"/>
  <c r="D30" i="4"/>
  <c r="D30" i="2"/>
  <c r="C20" i="6"/>
  <c r="AA7" i="6"/>
  <c r="D25" i="2"/>
  <c r="W11" i="6"/>
  <c r="U11" i="6"/>
  <c r="AC20" i="6"/>
  <c r="AD20" i="6"/>
  <c r="O103" i="6"/>
  <c r="O11" i="6"/>
  <c r="O165" i="6"/>
  <c r="O160" i="6"/>
  <c r="O97" i="6"/>
  <c r="O22" i="6"/>
  <c r="W22" i="6"/>
  <c r="U22" i="6"/>
  <c r="AD18" i="6"/>
  <c r="O52" i="6"/>
  <c r="AC15" i="6"/>
  <c r="AD15" i="6"/>
  <c r="AD12" i="6"/>
  <c r="AQ9" i="6"/>
  <c r="D26" i="3"/>
  <c r="Z4" i="6"/>
  <c r="AD10" i="6"/>
  <c r="AD8" i="6"/>
  <c r="AD25" i="6"/>
  <c r="AD22" i="6"/>
  <c r="U34" i="6"/>
  <c r="U7" i="6"/>
  <c r="D29" i="2"/>
  <c r="D31" i="2"/>
  <c r="N149" i="6"/>
  <c r="N120" i="6"/>
  <c r="N108" i="6"/>
  <c r="N51" i="6"/>
  <c r="N92" i="6"/>
  <c r="N184" i="6"/>
  <c r="N183" i="6"/>
  <c r="N19" i="6"/>
  <c r="N154" i="6"/>
  <c r="N37" i="6"/>
  <c r="N45" i="6"/>
  <c r="N28" i="6"/>
  <c r="N62" i="6"/>
  <c r="N47" i="6"/>
  <c r="N166" i="6"/>
  <c r="N157" i="6"/>
  <c r="N153" i="6"/>
  <c r="N67" i="6"/>
  <c r="N165" i="6"/>
  <c r="N58" i="6"/>
  <c r="N130" i="6"/>
  <c r="N82" i="6"/>
  <c r="N94" i="6"/>
  <c r="N187" i="6"/>
  <c r="N83" i="6"/>
  <c r="N18" i="6"/>
  <c r="N8" i="6"/>
  <c r="N110" i="6"/>
  <c r="N93" i="6"/>
  <c r="N42" i="6"/>
  <c r="N170" i="6"/>
  <c r="N140" i="6"/>
  <c r="N155" i="6"/>
  <c r="N105" i="6"/>
  <c r="N29" i="6"/>
  <c r="N102" i="6"/>
  <c r="N95" i="6"/>
  <c r="N160" i="6"/>
  <c r="N107" i="6"/>
  <c r="N163" i="6"/>
  <c r="N60" i="6"/>
  <c r="N72" i="6"/>
  <c r="N121" i="6"/>
  <c r="N158" i="6"/>
  <c r="N38" i="6"/>
  <c r="N65" i="6"/>
  <c r="N98" i="6"/>
  <c r="N159" i="6"/>
  <c r="N141" i="6"/>
  <c r="N173" i="6"/>
  <c r="N188" i="6"/>
  <c r="N150" i="6"/>
  <c r="N104" i="6"/>
  <c r="N179" i="6"/>
  <c r="N63" i="6"/>
  <c r="N169" i="6"/>
  <c r="N185" i="6"/>
  <c r="N43" i="6"/>
  <c r="N180" i="6"/>
  <c r="N27" i="6"/>
  <c r="N126" i="6"/>
  <c r="N49" i="6"/>
  <c r="N86" i="6"/>
  <c r="N167" i="6"/>
  <c r="N39" i="6"/>
  <c r="N61" i="6"/>
  <c r="N56" i="6"/>
  <c r="N116" i="6"/>
  <c r="N123" i="6"/>
  <c r="N114" i="6"/>
  <c r="N10" i="6"/>
  <c r="N99" i="6"/>
  <c r="N118" i="6"/>
  <c r="N142" i="6"/>
  <c r="N137" i="6"/>
  <c r="N46" i="6"/>
  <c r="N182" i="6"/>
  <c r="N31" i="6"/>
  <c r="N44" i="6"/>
  <c r="N15" i="6"/>
  <c r="N176" i="6"/>
  <c r="N64" i="6"/>
  <c r="N79" i="6"/>
  <c r="N131" i="6"/>
  <c r="N69" i="6"/>
  <c r="N162" i="6"/>
  <c r="N76" i="6"/>
  <c r="N24" i="6"/>
  <c r="N133" i="6"/>
  <c r="N111" i="6"/>
  <c r="N112" i="6"/>
  <c r="N124" i="6"/>
  <c r="N161" i="6"/>
  <c r="N171" i="6"/>
  <c r="N148" i="6"/>
  <c r="N34" i="6"/>
  <c r="N144" i="6"/>
  <c r="N156" i="6"/>
  <c r="N68" i="6"/>
  <c r="N48" i="6"/>
  <c r="N85" i="6"/>
  <c r="N36" i="6"/>
  <c r="N181" i="6"/>
  <c r="N88" i="6"/>
  <c r="N178" i="6"/>
  <c r="N14" i="6"/>
  <c r="N177" i="6"/>
  <c r="N32" i="6"/>
  <c r="N122" i="6"/>
  <c r="N9" i="6"/>
  <c r="N164" i="6"/>
  <c r="N66" i="6"/>
  <c r="N13" i="6"/>
  <c r="N75" i="6"/>
  <c r="N97" i="6"/>
  <c r="N22" i="6"/>
  <c r="N41" i="6"/>
  <c r="N73" i="6"/>
  <c r="N90" i="6"/>
  <c r="N23" i="6"/>
  <c r="N55" i="6"/>
  <c r="N77" i="6"/>
  <c r="N117" i="6"/>
  <c r="N106" i="6"/>
  <c r="N52" i="6"/>
  <c r="N143" i="6"/>
  <c r="N174" i="6"/>
  <c r="N50" i="6"/>
  <c r="N125" i="6"/>
  <c r="N7" i="6"/>
  <c r="N16" i="6"/>
  <c r="N11" i="6"/>
  <c r="N21" i="6"/>
  <c r="N89" i="6"/>
  <c r="N128" i="6"/>
  <c r="N115" i="6"/>
  <c r="N54" i="6"/>
  <c r="N151" i="6"/>
  <c r="N138" i="6"/>
  <c r="N127" i="6"/>
  <c r="N113" i="6"/>
  <c r="N168" i="6"/>
  <c r="N147" i="6"/>
  <c r="N103" i="6"/>
  <c r="N135" i="6"/>
  <c r="N59" i="6"/>
  <c r="N40" i="6"/>
  <c r="N17" i="6"/>
  <c r="N186" i="6"/>
  <c r="N12" i="6"/>
  <c r="N84" i="6"/>
  <c r="N132" i="6"/>
  <c r="N189" i="6"/>
  <c r="N136" i="6"/>
  <c r="N119" i="6"/>
  <c r="N152" i="6"/>
  <c r="N175" i="6"/>
  <c r="N35" i="6"/>
  <c r="N78" i="6"/>
  <c r="N33" i="6"/>
  <c r="N30" i="6"/>
  <c r="N74" i="6"/>
  <c r="N139" i="6"/>
  <c r="N109" i="6"/>
  <c r="N146" i="6"/>
  <c r="N101" i="6"/>
  <c r="N70" i="6"/>
  <c r="N57" i="6"/>
  <c r="N145" i="6"/>
  <c r="N96" i="6"/>
  <c r="N25" i="6"/>
  <c r="N26" i="6"/>
  <c r="N80" i="6"/>
  <c r="N87" i="6"/>
  <c r="N71" i="6"/>
  <c r="N129" i="6"/>
  <c r="N81" i="6"/>
  <c r="N134" i="6"/>
  <c r="N91" i="6"/>
  <c r="N172" i="6"/>
  <c r="N100" i="6"/>
  <c r="N20" i="6"/>
  <c r="N53" i="6"/>
  <c r="AK13" i="6"/>
  <c r="AL12" i="6"/>
  <c r="AQ10" i="6"/>
  <c r="AR9" i="6"/>
  <c r="AS9" i="6"/>
  <c r="O161" i="6"/>
  <c r="O63" i="6"/>
  <c r="O186" i="6"/>
  <c r="O113" i="6"/>
  <c r="O139" i="6"/>
  <c r="O117" i="6"/>
  <c r="O189" i="6"/>
  <c r="O8" i="6"/>
  <c r="O144" i="6"/>
  <c r="O31" i="6"/>
  <c r="O126" i="6"/>
  <c r="O134" i="6"/>
  <c r="O95" i="6"/>
  <c r="O182" i="6"/>
  <c r="O132" i="6"/>
  <c r="O51" i="6"/>
  <c r="O188" i="6"/>
  <c r="O81" i="6"/>
  <c r="O33" i="6"/>
  <c r="O28" i="6"/>
  <c r="O53" i="6"/>
  <c r="O106" i="6"/>
  <c r="O42" i="6"/>
  <c r="O129" i="6"/>
  <c r="O85" i="6"/>
  <c r="O171" i="6"/>
  <c r="O183" i="6"/>
  <c r="O12" i="6"/>
  <c r="O25" i="6"/>
  <c r="O66" i="6"/>
  <c r="O35" i="6"/>
  <c r="O54" i="6"/>
  <c r="O82" i="6"/>
  <c r="O96" i="6"/>
  <c r="O91" i="6"/>
  <c r="O158" i="6"/>
  <c r="O74" i="6"/>
  <c r="O36" i="6"/>
  <c r="O20" i="6"/>
  <c r="AB29" i="6"/>
  <c r="AC28" i="6"/>
  <c r="AD28" i="6"/>
  <c r="AJ8" i="6"/>
  <c r="AJ12" i="6"/>
  <c r="AJ10" i="6"/>
  <c r="AJ11" i="6"/>
  <c r="AJ7" i="6"/>
  <c r="AJ9" i="6"/>
  <c r="D30" i="3"/>
  <c r="D32" i="3"/>
  <c r="O100" i="6"/>
  <c r="O10" i="6"/>
  <c r="O34" i="6"/>
  <c r="O185" i="6"/>
  <c r="O176" i="6"/>
  <c r="O84" i="6"/>
  <c r="O40" i="6"/>
  <c r="O70" i="6"/>
  <c r="O46" i="6"/>
  <c r="O73" i="6"/>
  <c r="O29" i="6"/>
  <c r="O92" i="6"/>
  <c r="O153" i="6"/>
  <c r="O57" i="6"/>
  <c r="O80" i="6"/>
  <c r="O79" i="6"/>
  <c r="O38" i="6"/>
  <c r="O16" i="6"/>
  <c r="O67" i="6"/>
  <c r="O127" i="6"/>
  <c r="O146" i="6"/>
  <c r="O9" i="6"/>
  <c r="O135" i="6"/>
  <c r="O163" i="6"/>
  <c r="O50" i="6"/>
  <c r="O21" i="6"/>
  <c r="O157" i="6"/>
  <c r="O148" i="6"/>
  <c r="O177" i="6"/>
  <c r="D27" i="3"/>
  <c r="D25" i="3"/>
  <c r="O77" i="6"/>
  <c r="O102" i="6"/>
  <c r="O18" i="6"/>
  <c r="O112" i="6"/>
  <c r="D26" i="2"/>
  <c r="D24" i="2"/>
  <c r="AE22" i="6"/>
  <c r="AE26" i="6"/>
  <c r="AE14" i="6"/>
  <c r="AE21" i="6"/>
  <c r="AE12" i="6"/>
  <c r="AE15" i="6"/>
  <c r="AE11" i="6"/>
  <c r="AE23" i="6"/>
  <c r="AE18" i="6"/>
  <c r="AE9" i="6"/>
  <c r="AE25" i="6"/>
  <c r="AE7" i="6"/>
  <c r="AE27" i="6"/>
  <c r="AE8" i="6"/>
  <c r="AE28" i="6"/>
  <c r="AE19" i="6"/>
  <c r="AE13" i="6"/>
  <c r="AE20" i="6"/>
  <c r="AE10" i="6"/>
  <c r="AE24" i="6"/>
  <c r="AE17" i="6"/>
  <c r="AE16" i="6"/>
  <c r="O138" i="6"/>
  <c r="O180" i="6"/>
  <c r="AT9" i="6"/>
  <c r="AT7" i="6"/>
  <c r="AT8" i="6"/>
  <c r="O174" i="6"/>
  <c r="O13" i="6"/>
  <c r="O44" i="6"/>
  <c r="O154" i="6"/>
  <c r="O114" i="6"/>
  <c r="O76" i="6"/>
  <c r="O49" i="6"/>
  <c r="O47" i="6"/>
  <c r="O19" i="6"/>
  <c r="O87" i="6"/>
  <c r="O169" i="6"/>
  <c r="O41" i="6"/>
  <c r="O86" i="6"/>
  <c r="O60" i="6"/>
  <c r="O137" i="6"/>
  <c r="O131" i="6"/>
  <c r="O30" i="6"/>
  <c r="O181" i="6"/>
  <c r="O109" i="6"/>
  <c r="O26" i="6"/>
  <c r="O159" i="6"/>
  <c r="O43" i="6"/>
  <c r="O147" i="6"/>
  <c r="O64" i="6"/>
  <c r="O122" i="6"/>
  <c r="O145" i="6"/>
  <c r="O89" i="6"/>
  <c r="O65" i="6"/>
  <c r="O72" i="6"/>
  <c r="O136" i="6"/>
  <c r="O104" i="6"/>
  <c r="O119" i="6"/>
  <c r="O120" i="6"/>
  <c r="O175" i="6"/>
  <c r="O101" i="6"/>
  <c r="V39" i="6"/>
  <c r="W38" i="6"/>
  <c r="U38" i="6"/>
  <c r="V40" i="6"/>
  <c r="W39" i="6"/>
  <c r="U39" i="6"/>
  <c r="AK14" i="6"/>
  <c r="AL13" i="6"/>
  <c r="AJ13" i="6"/>
  <c r="AQ11" i="6"/>
  <c r="AR10" i="6"/>
  <c r="AB30" i="6"/>
  <c r="AC29" i="6"/>
  <c r="AD29" i="6"/>
  <c r="AE29" i="6"/>
  <c r="AK15" i="6"/>
  <c r="AL14" i="6"/>
  <c r="AJ14" i="6"/>
  <c r="AB31" i="6"/>
  <c r="AC30" i="6"/>
  <c r="AS10" i="6"/>
  <c r="AT10" i="6"/>
  <c r="AR11" i="6"/>
  <c r="AQ12" i="6"/>
  <c r="V41" i="6"/>
  <c r="W40" i="6"/>
  <c r="U40" i="6"/>
  <c r="V42" i="6"/>
  <c r="W41" i="6"/>
  <c r="U41" i="6"/>
  <c r="AK16" i="6"/>
  <c r="AL15" i="6"/>
  <c r="AJ15" i="6"/>
  <c r="AQ13" i="6"/>
  <c r="AR12" i="6"/>
  <c r="AD30" i="6"/>
  <c r="AE30" i="6"/>
  <c r="AS11" i="6"/>
  <c r="AT11" i="6"/>
  <c r="AB32" i="6"/>
  <c r="AC31" i="6"/>
  <c r="V43" i="6"/>
  <c r="W42" i="6"/>
  <c r="U42" i="6"/>
  <c r="AB33" i="6"/>
  <c r="AC32" i="6"/>
  <c r="AK17" i="6"/>
  <c r="AL16" i="6"/>
  <c r="AJ16" i="6"/>
  <c r="AQ14" i="6"/>
  <c r="AR13" i="6"/>
  <c r="AD31" i="6"/>
  <c r="AE31" i="6"/>
  <c r="AS12" i="6"/>
  <c r="AT12" i="6"/>
  <c r="AR14" i="6"/>
  <c r="AQ15" i="6"/>
  <c r="AB34" i="6"/>
  <c r="AC33" i="6"/>
  <c r="AS13" i="6"/>
  <c r="AT13" i="6"/>
  <c r="AD32" i="6"/>
  <c r="AE32" i="6"/>
  <c r="AL17" i="6"/>
  <c r="AJ17" i="6"/>
  <c r="AK18" i="6"/>
  <c r="V44" i="6"/>
  <c r="W43" i="6"/>
  <c r="U43" i="6"/>
  <c r="AD33" i="6"/>
  <c r="AE33" i="6"/>
  <c r="V45" i="6"/>
  <c r="W44" i="6"/>
  <c r="U44" i="6"/>
  <c r="AB35" i="6"/>
  <c r="AC34" i="6"/>
  <c r="AL18" i="6"/>
  <c r="AJ18" i="6"/>
  <c r="AK19" i="6"/>
  <c r="AQ16" i="6"/>
  <c r="AR15" i="6"/>
  <c r="AS14" i="6"/>
  <c r="AT14" i="6"/>
  <c r="AK20" i="6"/>
  <c r="AL19" i="6"/>
  <c r="AJ19" i="6"/>
  <c r="V46" i="6"/>
  <c r="W45" i="6"/>
  <c r="U45" i="6"/>
  <c r="AS15" i="6"/>
  <c r="AT15" i="6"/>
  <c r="AD34" i="6"/>
  <c r="AE34" i="6"/>
  <c r="AQ17" i="6"/>
  <c r="AR16" i="6"/>
  <c r="AB36" i="6"/>
  <c r="AC35" i="6"/>
  <c r="AB37" i="6"/>
  <c r="AC36" i="6"/>
  <c r="V47" i="6"/>
  <c r="W46" i="6"/>
  <c r="U46" i="6"/>
  <c r="AD35" i="6"/>
  <c r="AE35" i="6"/>
  <c r="AS16" i="6"/>
  <c r="AT16" i="6"/>
  <c r="AR17" i="6"/>
  <c r="AQ18" i="6"/>
  <c r="AK21" i="6"/>
  <c r="AL20" i="6"/>
  <c r="AJ20" i="6"/>
  <c r="AK22" i="6"/>
  <c r="AL21" i="6"/>
  <c r="AJ21" i="6"/>
  <c r="V48" i="6"/>
  <c r="W47" i="6"/>
  <c r="U47" i="6"/>
  <c r="AR18" i="6"/>
  <c r="AQ19" i="6"/>
  <c r="AD36" i="6"/>
  <c r="AE36" i="6"/>
  <c r="AS17" i="6"/>
  <c r="AT17" i="6"/>
  <c r="AB38" i="6"/>
  <c r="AC37" i="6"/>
  <c r="AD37" i="6"/>
  <c r="AE37" i="6"/>
  <c r="V49" i="6"/>
  <c r="W48" i="6"/>
  <c r="U48" i="6"/>
  <c r="AB39" i="6"/>
  <c r="AC38" i="6"/>
  <c r="AQ20" i="6"/>
  <c r="AR19" i="6"/>
  <c r="AS18" i="6"/>
  <c r="AT18" i="6"/>
  <c r="AK23" i="6"/>
  <c r="AL22" i="6"/>
  <c r="AJ22" i="6"/>
  <c r="AS19" i="6"/>
  <c r="AT19" i="6"/>
  <c r="AK24" i="6"/>
  <c r="AL23" i="6"/>
  <c r="AJ23" i="6"/>
  <c r="AQ21" i="6"/>
  <c r="AR20" i="6"/>
  <c r="V50" i="6"/>
  <c r="W49" i="6"/>
  <c r="U49" i="6"/>
  <c r="AD38" i="6"/>
  <c r="AE38" i="6"/>
  <c r="AB40" i="6"/>
  <c r="AC39" i="6"/>
  <c r="AB41" i="6"/>
  <c r="AC40" i="6"/>
  <c r="AD39" i="6"/>
  <c r="AE39" i="6"/>
  <c r="V51" i="6"/>
  <c r="W50" i="6"/>
  <c r="U50" i="6"/>
  <c r="AL24" i="6"/>
  <c r="AJ24" i="6"/>
  <c r="AK25" i="6"/>
  <c r="AS20" i="6"/>
  <c r="AT20" i="6"/>
  <c r="AQ22" i="6"/>
  <c r="AR21" i="6"/>
  <c r="AL25" i="6"/>
  <c r="AJ25" i="6"/>
  <c r="AK26" i="6"/>
  <c r="AQ23" i="6"/>
  <c r="AR22" i="6"/>
  <c r="AD40" i="6"/>
  <c r="AE40" i="6"/>
  <c r="AS21" i="6"/>
  <c r="AT21" i="6"/>
  <c r="V52" i="6"/>
  <c r="W51" i="6"/>
  <c r="U51" i="6"/>
  <c r="AB42" i="6"/>
  <c r="AC41" i="6"/>
  <c r="AK27" i="6"/>
  <c r="AL26" i="6"/>
  <c r="AJ26" i="6"/>
  <c r="AD41" i="6"/>
  <c r="AE41" i="6"/>
  <c r="AS22" i="6"/>
  <c r="AT22" i="6"/>
  <c r="AB43" i="6"/>
  <c r="AC42" i="6"/>
  <c r="AQ24" i="6"/>
  <c r="AR23" i="6"/>
  <c r="V53" i="6"/>
  <c r="W52" i="6"/>
  <c r="U52" i="6"/>
  <c r="AB44" i="6"/>
  <c r="AC43" i="6"/>
  <c r="AD42" i="6"/>
  <c r="AE42" i="6"/>
  <c r="V54" i="6"/>
  <c r="W53" i="6"/>
  <c r="U53" i="6"/>
  <c r="AS23" i="6"/>
  <c r="AT23" i="6"/>
  <c r="AQ25" i="6"/>
  <c r="AR24" i="6"/>
  <c r="AL27" i="6"/>
  <c r="AJ27" i="6"/>
  <c r="AK28" i="6"/>
  <c r="AK29" i="6"/>
  <c r="AL28" i="6"/>
  <c r="AJ28" i="6"/>
  <c r="AS24" i="6"/>
  <c r="AT24" i="6"/>
  <c r="AD43" i="6"/>
  <c r="AE43" i="6"/>
  <c r="AQ26" i="6"/>
  <c r="AR25" i="6"/>
  <c r="V55" i="6"/>
  <c r="W54" i="6"/>
  <c r="U54" i="6"/>
  <c r="AB45" i="6"/>
  <c r="AC44" i="6"/>
  <c r="V56" i="6"/>
  <c r="W55" i="6"/>
  <c r="U55" i="6"/>
  <c r="AL29" i="6"/>
  <c r="AJ29" i="6"/>
  <c r="AK30" i="6"/>
  <c r="AD44" i="6"/>
  <c r="AE44" i="6"/>
  <c r="AS25" i="6"/>
  <c r="AT25" i="6"/>
  <c r="AB46" i="6"/>
  <c r="AC45" i="6"/>
  <c r="AR26" i="6"/>
  <c r="AQ27" i="6"/>
  <c r="AD45" i="6"/>
  <c r="AE45" i="6"/>
  <c r="AB47" i="6"/>
  <c r="AC46" i="6"/>
  <c r="V57" i="6"/>
  <c r="W56" i="6"/>
  <c r="U56" i="6"/>
  <c r="AQ28" i="6"/>
  <c r="AR27" i="6"/>
  <c r="AK31" i="6"/>
  <c r="AL30" i="6"/>
  <c r="AJ30" i="6"/>
  <c r="AS26" i="6"/>
  <c r="AT26" i="6"/>
  <c r="AK32" i="6"/>
  <c r="AL31" i="6"/>
  <c r="AJ31" i="6"/>
  <c r="V58" i="6"/>
  <c r="W57" i="6"/>
  <c r="U57" i="6"/>
  <c r="AS27" i="6"/>
  <c r="AT27" i="6"/>
  <c r="AD46" i="6"/>
  <c r="AE46" i="6"/>
  <c r="AQ29" i="6"/>
  <c r="AR28" i="6"/>
  <c r="AB48" i="6"/>
  <c r="AC47" i="6"/>
  <c r="AD47" i="6"/>
  <c r="AE47" i="6"/>
  <c r="AB49" i="6"/>
  <c r="AC48" i="6"/>
  <c r="V59" i="6"/>
  <c r="W58" i="6"/>
  <c r="U58" i="6"/>
  <c r="AS28" i="6"/>
  <c r="AT28" i="6"/>
  <c r="AQ30" i="6"/>
  <c r="AR29" i="6"/>
  <c r="AL32" i="6"/>
  <c r="AJ32" i="6"/>
  <c r="AK33" i="6"/>
  <c r="AQ31" i="6"/>
  <c r="AR30" i="6"/>
  <c r="V60" i="6"/>
  <c r="W59" i="6"/>
  <c r="U59" i="6"/>
  <c r="AL33" i="6"/>
  <c r="AJ33" i="6"/>
  <c r="AK34" i="6"/>
  <c r="AD48" i="6"/>
  <c r="AE48" i="6"/>
  <c r="AB50" i="6"/>
  <c r="AC49" i="6"/>
  <c r="AS29" i="6"/>
  <c r="AT29" i="6"/>
  <c r="AB51" i="6"/>
  <c r="AC50" i="6"/>
  <c r="AR31" i="6"/>
  <c r="AQ32" i="6"/>
  <c r="V61" i="6"/>
  <c r="W60" i="6"/>
  <c r="U60" i="6"/>
  <c r="AD49" i="6"/>
  <c r="AE49" i="6"/>
  <c r="AL34" i="6"/>
  <c r="AJ34" i="6"/>
  <c r="AK35" i="6"/>
  <c r="AS30" i="6"/>
  <c r="AT30" i="6"/>
  <c r="V62" i="6"/>
  <c r="W61" i="6"/>
  <c r="U61" i="6"/>
  <c r="AQ33" i="6"/>
  <c r="AR32" i="6"/>
  <c r="AS31" i="6"/>
  <c r="AT31" i="6"/>
  <c r="AK36" i="6"/>
  <c r="AL35" i="6"/>
  <c r="AJ35" i="6"/>
  <c r="AD50" i="6"/>
  <c r="AE50" i="6"/>
  <c r="AB52" i="6"/>
  <c r="AC51" i="6"/>
  <c r="AS32" i="6"/>
  <c r="AT32" i="6"/>
  <c r="AD51" i="6"/>
  <c r="AE51" i="6"/>
  <c r="AB53" i="6"/>
  <c r="AC52" i="6"/>
  <c r="AK37" i="6"/>
  <c r="AL36" i="6"/>
  <c r="AJ36" i="6"/>
  <c r="AQ34" i="6"/>
  <c r="AR33" i="6"/>
  <c r="V63" i="6"/>
  <c r="W62" i="6"/>
  <c r="U62" i="6"/>
  <c r="V64" i="6"/>
  <c r="W63" i="6"/>
  <c r="U63" i="6"/>
  <c r="AK38" i="6"/>
  <c r="AL37" i="6"/>
  <c r="AJ37" i="6"/>
  <c r="AS33" i="6"/>
  <c r="AT33" i="6"/>
  <c r="AD52" i="6"/>
  <c r="AE52" i="6"/>
  <c r="AR34" i="6"/>
  <c r="AQ35" i="6"/>
  <c r="AB54" i="6"/>
  <c r="AC53" i="6"/>
  <c r="AB55" i="6"/>
  <c r="AC54" i="6"/>
  <c r="AK39" i="6"/>
  <c r="AL38" i="6"/>
  <c r="AJ38" i="6"/>
  <c r="AD53" i="6"/>
  <c r="AE53" i="6"/>
  <c r="AQ36" i="6"/>
  <c r="AR35" i="6"/>
  <c r="AS34" i="6"/>
  <c r="AT34" i="6"/>
  <c r="V65" i="6"/>
  <c r="W64" i="6"/>
  <c r="U64" i="6"/>
  <c r="AB56" i="6"/>
  <c r="AC55" i="6"/>
  <c r="AS35" i="6"/>
  <c r="AT35" i="6"/>
  <c r="V66" i="6"/>
  <c r="W65" i="6"/>
  <c r="U65" i="6"/>
  <c r="AQ37" i="6"/>
  <c r="AR36" i="6"/>
  <c r="AL39" i="6"/>
  <c r="AJ39" i="6"/>
  <c r="AK40" i="6"/>
  <c r="AD54" i="6"/>
  <c r="AE54" i="6"/>
  <c r="AQ38" i="6"/>
  <c r="AR37" i="6"/>
  <c r="AS36" i="6"/>
  <c r="AT36" i="6"/>
  <c r="AD55" i="6"/>
  <c r="AE55" i="6"/>
  <c r="AK41" i="6"/>
  <c r="AL40" i="6"/>
  <c r="AJ40" i="6"/>
  <c r="V67" i="6"/>
  <c r="W67" i="6"/>
  <c r="U67" i="6"/>
  <c r="W66" i="6"/>
  <c r="U66" i="6"/>
  <c r="AB57" i="6"/>
  <c r="AC56" i="6"/>
  <c r="AQ39" i="6"/>
  <c r="AR38" i="6"/>
  <c r="AD56" i="6"/>
  <c r="AE56" i="6"/>
  <c r="AB58" i="6"/>
  <c r="AC57" i="6"/>
  <c r="AL41" i="6"/>
  <c r="AJ41" i="6"/>
  <c r="AK42" i="6"/>
  <c r="AS37" i="6"/>
  <c r="AT37" i="6"/>
  <c r="AB59" i="6"/>
  <c r="AC58" i="6"/>
  <c r="AQ40" i="6"/>
  <c r="AR39" i="6"/>
  <c r="AL42" i="6"/>
  <c r="AJ42" i="6"/>
  <c r="AK43" i="6"/>
  <c r="AD57" i="6"/>
  <c r="AE57" i="6"/>
  <c r="AS38" i="6"/>
  <c r="AT38" i="6"/>
  <c r="AB60" i="6"/>
  <c r="AC59" i="6"/>
  <c r="AS39" i="6"/>
  <c r="AT39" i="6"/>
  <c r="AQ41" i="6"/>
  <c r="AR40" i="6"/>
  <c r="AK44" i="6"/>
  <c r="AL43" i="6"/>
  <c r="AJ43" i="6"/>
  <c r="AD58" i="6"/>
  <c r="AE58" i="6"/>
  <c r="AR41" i="6"/>
  <c r="AQ42" i="6"/>
  <c r="AB61" i="6"/>
  <c r="AC60" i="6"/>
  <c r="AK45" i="6"/>
  <c r="AL44" i="6"/>
  <c r="AJ44" i="6"/>
  <c r="AS40" i="6"/>
  <c r="AT40" i="6"/>
  <c r="AD59" i="6"/>
  <c r="AE59" i="6"/>
  <c r="AK46" i="6"/>
  <c r="AL45" i="6"/>
  <c r="AJ45" i="6"/>
  <c r="AS41" i="6"/>
  <c r="AT41" i="6"/>
  <c r="AD60" i="6"/>
  <c r="AE60" i="6"/>
  <c r="AB62" i="6"/>
  <c r="AC61" i="6"/>
  <c r="AQ43" i="6"/>
  <c r="AR42" i="6"/>
  <c r="AD61" i="6"/>
  <c r="AE61" i="6"/>
  <c r="AB63" i="6"/>
  <c r="AC62" i="6"/>
  <c r="AS42" i="6"/>
  <c r="AT42" i="6"/>
  <c r="AQ44" i="6"/>
  <c r="AR43" i="6"/>
  <c r="AK47" i="6"/>
  <c r="AL46" i="6"/>
  <c r="AJ46" i="6"/>
  <c r="AS43" i="6"/>
  <c r="AT43" i="6"/>
  <c r="AD62" i="6"/>
  <c r="AE62" i="6"/>
  <c r="AQ45" i="6"/>
  <c r="AR44" i="6"/>
  <c r="AB64" i="6"/>
  <c r="AC63" i="6"/>
  <c r="AK48" i="6"/>
  <c r="AL47" i="6"/>
  <c r="AJ47" i="6"/>
  <c r="AB65" i="6"/>
  <c r="AC64" i="6"/>
  <c r="AL48" i="6"/>
  <c r="AJ48" i="6"/>
  <c r="AK49" i="6"/>
  <c r="AQ46" i="6"/>
  <c r="AR45" i="6"/>
  <c r="AD63" i="6"/>
  <c r="AE63" i="6"/>
  <c r="AS44" i="6"/>
  <c r="AT44" i="6"/>
  <c r="AR46" i="6"/>
  <c r="AQ47" i="6"/>
  <c r="AB66" i="6"/>
  <c r="AC65" i="6"/>
  <c r="AK50" i="6"/>
  <c r="AL49" i="6"/>
  <c r="AJ49" i="6"/>
  <c r="AS45" i="6"/>
  <c r="AT45" i="6"/>
  <c r="AD64" i="6"/>
  <c r="AE64" i="6"/>
  <c r="AK51" i="6"/>
  <c r="AL50" i="6"/>
  <c r="AJ50" i="6"/>
  <c r="AS46" i="6"/>
  <c r="AT46" i="6"/>
  <c r="AD65" i="6"/>
  <c r="AE65" i="6"/>
  <c r="AB67" i="6"/>
  <c r="AC67" i="6"/>
  <c r="AC66" i="6"/>
  <c r="AQ48" i="6"/>
  <c r="AR47" i="6"/>
  <c r="AD66" i="6"/>
  <c r="AE66" i="6"/>
  <c r="AD67" i="6"/>
  <c r="AE67" i="6"/>
  <c r="AS47" i="6"/>
  <c r="AT47" i="6"/>
  <c r="AQ49" i="6"/>
  <c r="AR48" i="6"/>
  <c r="AL51" i="6"/>
  <c r="AJ51" i="6"/>
  <c r="AK52" i="6"/>
  <c r="AS48" i="6"/>
  <c r="AT48" i="6"/>
  <c r="AQ50" i="6"/>
  <c r="AR49" i="6"/>
  <c r="AL52" i="6"/>
  <c r="AJ52" i="6"/>
  <c r="AK53" i="6"/>
  <c r="AS49" i="6"/>
  <c r="AT49" i="6"/>
  <c r="AQ51" i="6"/>
  <c r="AR50" i="6"/>
  <c r="AK54" i="6"/>
  <c r="AL53" i="6"/>
  <c r="AJ53" i="6"/>
  <c r="AQ52" i="6"/>
  <c r="AR51" i="6"/>
  <c r="AS50" i="6"/>
  <c r="AT50" i="6"/>
  <c r="AL54" i="6"/>
  <c r="AJ54" i="6"/>
  <c r="AK55" i="6"/>
  <c r="AL55" i="6"/>
  <c r="AJ55" i="6"/>
  <c r="AK56" i="6"/>
  <c r="AS51" i="6"/>
  <c r="AT51" i="6"/>
  <c r="AQ53" i="6"/>
  <c r="AR52" i="6"/>
  <c r="AS52" i="6"/>
  <c r="AT52" i="6"/>
  <c r="AK57" i="6"/>
  <c r="AL56" i="6"/>
  <c r="AJ56" i="6"/>
  <c r="AQ54" i="6"/>
  <c r="AR53" i="6"/>
  <c r="AS53" i="6"/>
  <c r="AT53" i="6"/>
  <c r="AQ55" i="6"/>
  <c r="AR54" i="6"/>
  <c r="AL57" i="6"/>
  <c r="AJ57" i="6"/>
  <c r="AK58" i="6"/>
  <c r="AS54" i="6"/>
  <c r="AT54" i="6"/>
  <c r="AQ56" i="6"/>
  <c r="AR55" i="6"/>
  <c r="AK59" i="6"/>
  <c r="AL58" i="6"/>
  <c r="AJ58" i="6"/>
  <c r="AS55" i="6"/>
  <c r="AT55" i="6"/>
  <c r="AQ57" i="6"/>
  <c r="AR56" i="6"/>
  <c r="AK60" i="6"/>
  <c r="AL59" i="6"/>
  <c r="AJ59" i="6"/>
  <c r="AQ58" i="6"/>
  <c r="AR57" i="6"/>
  <c r="AS56" i="6"/>
  <c r="AT56" i="6"/>
  <c r="AK61" i="6"/>
  <c r="AL60" i="6"/>
  <c r="AJ60" i="6"/>
  <c r="AS57" i="6"/>
  <c r="AT57" i="6"/>
  <c r="AL61" i="6"/>
  <c r="AJ61" i="6"/>
  <c r="AK62" i="6"/>
  <c r="AQ59" i="6"/>
  <c r="AR58" i="6"/>
  <c r="AK63" i="6"/>
  <c r="AL62" i="6"/>
  <c r="AJ62" i="6"/>
  <c r="AS58" i="6"/>
  <c r="AT58" i="6"/>
  <c r="AQ60" i="6"/>
  <c r="AR59" i="6"/>
  <c r="AS59" i="6"/>
  <c r="AT59" i="6"/>
  <c r="AQ61" i="6"/>
  <c r="AR60" i="6"/>
  <c r="AK64" i="6"/>
  <c r="AL63" i="6"/>
  <c r="AJ63" i="6"/>
  <c r="AQ62" i="6"/>
  <c r="AR61" i="6"/>
  <c r="AS60" i="6"/>
  <c r="AT60" i="6"/>
  <c r="AK65" i="6"/>
  <c r="AL64" i="6"/>
  <c r="AJ64" i="6"/>
  <c r="AS61" i="6"/>
  <c r="AT61" i="6"/>
  <c r="AL65" i="6"/>
  <c r="AJ65" i="6"/>
  <c r="AK66" i="6"/>
  <c r="AR62" i="6"/>
  <c r="AQ63" i="6"/>
  <c r="AL66" i="6"/>
  <c r="AJ66" i="6"/>
  <c r="AK67" i="6"/>
  <c r="AL67" i="6"/>
  <c r="AJ67" i="6"/>
  <c r="AQ64" i="6"/>
  <c r="AR63" i="6"/>
  <c r="AS62" i="6"/>
  <c r="AT62" i="6"/>
  <c r="AS63" i="6"/>
  <c r="AT63" i="6"/>
  <c r="AQ65" i="6"/>
  <c r="AR64" i="6"/>
  <c r="AS64" i="6"/>
  <c r="AT64" i="6"/>
  <c r="AR65" i="6"/>
  <c r="AQ66" i="6"/>
  <c r="AS65" i="6"/>
  <c r="AT65" i="6"/>
  <c r="AR66" i="6"/>
  <c r="AQ67" i="6"/>
  <c r="AR67" i="6"/>
  <c r="AS67" i="6"/>
  <c r="AT67" i="6"/>
  <c r="AS66" i="6"/>
  <c r="AT66" i="6"/>
</calcChain>
</file>

<file path=xl/sharedStrings.xml><?xml version="1.0" encoding="utf-8"?>
<sst xmlns="http://schemas.openxmlformats.org/spreadsheetml/2006/main" count="517" uniqueCount="142">
  <si>
    <t>t</t>
  </si>
  <si>
    <t xml:space="preserve"> </t>
  </si>
  <si>
    <t>%</t>
  </si>
  <si>
    <t xml:space="preserve">Concentration of water vapour at equilibrium </t>
  </si>
  <si>
    <t>no unit</t>
  </si>
  <si>
    <t>days</t>
  </si>
  <si>
    <t>kg</t>
  </si>
  <si>
    <r>
      <t>g/m</t>
    </r>
    <r>
      <rPr>
        <vertAlign val="superscript"/>
        <sz val="10"/>
        <rFont val="Arial"/>
        <family val="2"/>
      </rPr>
      <t>3</t>
    </r>
  </si>
  <si>
    <t>Net volume of the enclosure</t>
  </si>
  <si>
    <t>1/day</t>
  </si>
  <si>
    <t>Air exchange rate</t>
  </si>
  <si>
    <t>g/(kg %RH)</t>
  </si>
  <si>
    <t>Total quantity of conditioned sorbent needed</t>
  </si>
  <si>
    <t>Description</t>
  </si>
  <si>
    <t>Comments</t>
  </si>
  <si>
    <t>Symbol</t>
  </si>
  <si>
    <t>Value</t>
  </si>
  <si>
    <t>Unit</t>
  </si>
  <si>
    <t>C</t>
  </si>
  <si>
    <t>D</t>
  </si>
  <si>
    <t>V</t>
  </si>
  <si>
    <t>N</t>
  </si>
  <si>
    <t>Q/V</t>
  </si>
  <si>
    <t>Q</t>
  </si>
  <si>
    <t>Total quantity of dry sorbent needed</t>
  </si>
  <si>
    <t>RH set point based on annual average RH value</t>
  </si>
  <si>
    <t>F/2</t>
  </si>
  <si>
    <t>RH contol with a maximal fluctuation over the annual RH average</t>
  </si>
  <si>
    <t>Decimal difference between the average exterior RH and lowest internal RH wanted</t>
  </si>
  <si>
    <t>Increase of RH allowed in the enclosure</t>
  </si>
  <si>
    <t>Keep the RH below the external ambient RH</t>
  </si>
  <si>
    <t>Keep the RH above the external ambient RH</t>
  </si>
  <si>
    <t>Decimal difference between the average exterior RH and highest internal RH wanted</t>
  </si>
  <si>
    <t>Average external RH</t>
  </si>
  <si>
    <t>Decrease of RH allowed in the enclosure</t>
  </si>
  <si>
    <t>N/A</t>
  </si>
  <si>
    <t>Total quantity of conditioned sorbent needed (provided by the distributor)</t>
  </si>
  <si>
    <t xml:space="preserve">New </t>
  </si>
  <si>
    <t>sorbent</t>
  </si>
  <si>
    <t>Keep the RH in the enclosure higher than the external ambient RH</t>
  </si>
  <si>
    <t>Keep the RH in the enclosure lower than the external ambient RH</t>
  </si>
  <si>
    <t>This is automatically calculated based on the temperature</t>
  </si>
  <si>
    <t>This is automatically calculated</t>
  </si>
  <si>
    <t>This is automatically calculated based on the difference between the lowest and highest RH wanted in the enclosure</t>
  </si>
  <si>
    <t>This is automatically calculated based on the difference between the highest and lowest RH wanted in the enclosure</t>
  </si>
  <si>
    <t>This is automatically calculated based on the temperature.</t>
  </si>
  <si>
    <t>Avg RH ext</t>
  </si>
  <si>
    <t>A</t>
  </si>
  <si>
    <t>B</t>
  </si>
  <si>
    <t>amplitude</t>
  </si>
  <si>
    <t>frequency</t>
  </si>
  <si>
    <t>horizontal shift</t>
  </si>
  <si>
    <t>vertical shift</t>
  </si>
  <si>
    <t>time days</t>
  </si>
  <si>
    <t>#step</t>
  </si>
  <si>
    <t>SIN</t>
  </si>
  <si>
    <t>t (days)</t>
  </si>
  <si>
    <t>Duration</t>
  </si>
  <si>
    <t>Fluct</t>
  </si>
  <si>
    <t>SIN Ext</t>
  </si>
  <si>
    <t>SIN int</t>
  </si>
  <si>
    <t>SIN Int</t>
  </si>
  <si>
    <t>Typical maximal RH over the year</t>
  </si>
  <si>
    <t>Typical minimal RH over the year</t>
  </si>
  <si>
    <t>Biggest value either (max RH - avg RH) or (avg RH - min RH)</t>
  </si>
  <si>
    <t>Annual average RH value in the room</t>
  </si>
  <si>
    <t>Annual average temperature</t>
  </si>
  <si>
    <t>Bibliography</t>
  </si>
  <si>
    <t>Moisture Sorbent Calculator</t>
  </si>
  <si>
    <r>
      <t>C</t>
    </r>
    <r>
      <rPr>
        <vertAlign val="subscript"/>
        <sz val="10"/>
        <rFont val="Arial"/>
        <family val="2"/>
      </rPr>
      <t>eq</t>
    </r>
  </si>
  <si>
    <t>Instructions</t>
  </si>
  <si>
    <t>Green cells are results</t>
  </si>
  <si>
    <t>Grey cells for reported data</t>
  </si>
  <si>
    <t>F</t>
  </si>
  <si>
    <t>Typical maximal RH for this period</t>
  </si>
  <si>
    <t>Typical minimal RH for this period</t>
  </si>
  <si>
    <t>Sin int RH</t>
  </si>
  <si>
    <t>Sin D vert shif</t>
  </si>
  <si>
    <t>D ext</t>
  </si>
  <si>
    <t>RH ext</t>
  </si>
  <si>
    <t>RH int</t>
  </si>
  <si>
    <t>1. Keep the RH in the enclosure lower than the external ambient RH</t>
  </si>
  <si>
    <t>2. Keep the RH in the enclosure lower than the external ambient RH</t>
  </si>
  <si>
    <t>3. Keep the RH in the enclosure higher than the external ambient RH</t>
  </si>
  <si>
    <t>RH int&amp; final</t>
  </si>
  <si>
    <t>int RH</t>
  </si>
  <si>
    <t>final RH</t>
  </si>
  <si>
    <t>amplitude (F/2)</t>
  </si>
  <si>
    <t xml:space="preserve">Q based silica gel Mh and D based short term ext RH fluct </t>
  </si>
  <si>
    <t>Avg ext RH</t>
  </si>
  <si>
    <t>F in the enclosure based on RH ext fluct</t>
  </si>
  <si>
    <t>Average external RH for this period</t>
  </si>
  <si>
    <t>Average temperature for this period</t>
  </si>
  <si>
    <t>Internal RH fluctuations are based on regular silica gel.</t>
  </si>
  <si>
    <t>Initial low internal RH wanted</t>
  </si>
  <si>
    <t>Initial high internal RH wanted</t>
  </si>
  <si>
    <t>Disclaimer</t>
  </si>
  <si>
    <t>The Moisture Sorbent Calculator was designed for convenience and should only be used as a reference tool. CCI makes no representation about the accuracy, reliability and completeness of this tool or the results to be obtained from its use. CCI assumes no responsibility related to any express, implied or statutory warranties regarding the use of the results obtained from this calculation tool for your institution’s climate control program.</t>
  </si>
  <si>
    <t>© Government of Canada, Canadian Conservation Institute, 2023</t>
  </si>
  <si>
    <t>The results are calculated automatically and are shown in the green cells D18 to D36 and in cells D39 to D40 if data is provided for this sorbent.</t>
  </si>
  <si>
    <t>The graph on the left shows the RH fluctuations based on data provided by default; the graph on the right shows the RH fluctuations based on your data.</t>
  </si>
  <si>
    <t>Moisture reservoir of sorbent</t>
  </si>
  <si>
    <t>Moisture reservoir of sorbent (provided by the distributor)</t>
  </si>
  <si>
    <t>To ensure optimal performance, an extra amount of sorbent can be added; however, do not forget to monitor RH.</t>
  </si>
  <si>
    <t>Volume of the enclosure, excluding the volume of objects and any other structures.</t>
  </si>
  <si>
    <t>For example, a well-sealed display case can have a value of N = 1.</t>
  </si>
  <si>
    <t>To obtain a maximum RH fluctuation in the enclosure such as 5% up and 5% down, write 5%.</t>
  </si>
  <si>
    <t xml:space="preserve">RHapid gel </t>
  </si>
  <si>
    <t>PROsorb</t>
  </si>
  <si>
    <t>Regular</t>
  </si>
  <si>
    <t>Typical maximum external RH for this period</t>
  </si>
  <si>
    <t>Typical minimum external RH for this period</t>
  </si>
  <si>
    <t>Number of days during which the RH needs to remain below the maximum allowable level. After this duration, the sorbent needs to be reconditioned if the installation is ongoing.</t>
  </si>
  <si>
    <t>silica gel</t>
  </si>
  <si>
    <t>Minimum internal RH allowed</t>
  </si>
  <si>
    <t>Number of days during which the RH needs to remain above the minimum allowable level. After this duration, the sorbent needs to be reconditioned if the installation is ongoing.</t>
  </si>
  <si>
    <t>Typical maximum RH over the year</t>
  </si>
  <si>
    <t>Typical minimum RH over the year</t>
  </si>
  <si>
    <t>Maximum internal RH fluctuation allowed</t>
  </si>
  <si>
    <t>°C</t>
  </si>
  <si>
    <t>Minimum RH fluctuations in the enclosure around the annual average external RH</t>
  </si>
  <si>
    <t>Maximum internal RH allowed</t>
  </si>
  <si>
    <r>
      <t>m</t>
    </r>
    <r>
      <rPr>
        <vertAlign val="superscript"/>
        <sz val="12"/>
        <rFont val="Arial"/>
        <family val="2"/>
      </rPr>
      <t>3</t>
    </r>
  </si>
  <si>
    <r>
      <t>M</t>
    </r>
    <r>
      <rPr>
        <vertAlign val="subscript"/>
        <sz val="12"/>
        <rFont val="Arial"/>
        <family val="2"/>
      </rPr>
      <t>H</t>
    </r>
  </si>
  <si>
    <r>
      <t>kg/m</t>
    </r>
    <r>
      <rPr>
        <vertAlign val="superscript"/>
        <sz val="12"/>
        <rFont val="Arial"/>
        <family val="2"/>
      </rPr>
      <t>3</t>
    </r>
  </si>
  <si>
    <t>Art-Sorb</t>
  </si>
  <si>
    <t>Quantity of dry sorbent needed per cubic metre of volume</t>
  </si>
  <si>
    <t>Q conditioned</t>
  </si>
  <si>
    <t>Enter your data in the yellow cells D9 to D16 and in cell D38 if you have data on another moisture sorbent.</t>
  </si>
  <si>
    <t>Enter your data in the yellow cells D9 to D17 and in cell D39 if you have data on another moisture sorbent.</t>
  </si>
  <si>
    <t>The results are calculated automatically and are shown in the green cells D19 to D37 and in cells D40 to D41 if data is provided for this sorbent.</t>
  </si>
  <si>
    <t>© Government of Canada, Canadian Conservation Institute. 128941-0011</t>
  </si>
  <si>
    <t>© Government of Canada, Canadian Conservation Institute. 128941-0013</t>
  </si>
  <si>
    <t>© Government of Canada, Canadian Conservation Institute. 128941-0015</t>
  </si>
  <si>
    <r>
      <t xml:space="preserve">For the conditions of use and reproduction of these resources, consult the section “Ownership and usage of content provided on this site” on the </t>
    </r>
    <r>
      <rPr>
        <u/>
        <sz val="12"/>
        <color indexed="12"/>
        <rFont val="Arial"/>
        <family val="2"/>
      </rPr>
      <t>Terms and conditions</t>
    </r>
    <r>
      <rPr>
        <sz val="12"/>
        <rFont val="Arial"/>
        <family val="2"/>
      </rPr>
      <t xml:space="preserve"> page for the Canada.ca website. </t>
    </r>
  </si>
  <si>
    <r>
      <t xml:space="preserve">Tétreault, J., and P. Bégin. </t>
    </r>
    <r>
      <rPr>
        <i/>
        <u/>
        <sz val="12"/>
        <color indexed="12"/>
        <rFont val="Arial"/>
        <family val="2"/>
      </rPr>
      <t>Silica Gel: Passive Control of Relative Humidity</t>
    </r>
    <r>
      <rPr>
        <sz val="12"/>
        <rFont val="Arial"/>
        <family val="2"/>
      </rPr>
      <t>. Technical Bulletin 33. Ottawa, ON: Canadian Conservation Institute, 2018.</t>
    </r>
  </si>
  <si>
    <r>
      <t xml:space="preserve">Tétreault, J., and E. Hagan. </t>
    </r>
    <r>
      <rPr>
        <i/>
        <u/>
        <sz val="12"/>
        <color indexed="12"/>
        <rFont val="Arial"/>
        <family val="2"/>
      </rPr>
      <t>Airtightness Measurement of Display Cases and Other Enclosures</t>
    </r>
    <r>
      <rPr>
        <sz val="12"/>
        <rFont val="Arial"/>
        <family val="2"/>
      </rPr>
      <t>. Technical Bulletin 38. Ottawa, ON: Canadian Conservation Institute, 2022.</t>
    </r>
  </si>
  <si>
    <r>
      <t xml:space="preserve">The Moisture Sorbent Calculator was designed by the Canadian Conservation Institute (CCI) as a tool to help estimate the amount of moisture sorbent required to maintain a desired relative humidity (RH) level within a protective enclosure, such as a display case.
This calculator is meant to be used with Technical Bulletin (TB) 33 </t>
    </r>
    <r>
      <rPr>
        <i/>
        <u/>
        <sz val="12"/>
        <color indexed="30"/>
        <rFont val="Arial"/>
        <family val="2"/>
      </rPr>
      <t>Silica Gel: Passive Control of Relative Humidity</t>
    </r>
    <r>
      <rPr>
        <sz val="12"/>
        <rFont val="Arial"/>
        <family val="2"/>
      </rPr>
      <t xml:space="preserve">. It is provided for those who are familiar with Excel. The file reproduces equation 1 found in TB 33. Users may enter data into the workbook, and the results will be calculated automatically for each moisture sorbent.
Equation 1. </t>
    </r>
  </si>
  <si>
    <r>
      <t>This tool is published by the</t>
    </r>
    <r>
      <rPr>
        <sz val="12"/>
        <color indexed="12"/>
        <rFont val="Arial"/>
        <family val="2"/>
      </rPr>
      <t xml:space="preserve"> </t>
    </r>
    <r>
      <rPr>
        <u/>
        <sz val="12"/>
        <color indexed="12"/>
        <rFont val="Arial"/>
        <family val="2"/>
      </rPr>
      <t>Canadian Conservation Institute</t>
    </r>
    <r>
      <rPr>
        <sz val="12"/>
        <color indexed="12"/>
        <rFont val="Arial"/>
        <family val="2"/>
      </rPr>
      <t>.</t>
    </r>
  </si>
  <si>
    <r>
      <t>Where
Q = recommended quantity of dry sorbents (kg)
C</t>
    </r>
    <r>
      <rPr>
        <vertAlign val="subscript"/>
        <sz val="12"/>
        <rFont val="Arial"/>
        <family val="2"/>
      </rPr>
      <t>eq</t>
    </r>
    <r>
      <rPr>
        <sz val="12"/>
        <rFont val="Arial"/>
        <family val="2"/>
      </rPr>
      <t> = concentration of water vapour at equilibrium (g/m</t>
    </r>
    <r>
      <rPr>
        <vertAlign val="superscript"/>
        <sz val="12"/>
        <rFont val="Arial"/>
        <family val="2"/>
      </rPr>
      <t>3</t>
    </r>
    <r>
      <rPr>
        <sz val="12"/>
        <rFont val="Arial"/>
        <family val="2"/>
      </rPr>
      <t>)
D = decimal difference between the RH outside the enclosure and the targeted RH inside (no unit)
V = net volume of air in the enclosure (m</t>
    </r>
    <r>
      <rPr>
        <vertAlign val="superscript"/>
        <sz val="12"/>
        <rFont val="Arial"/>
        <family val="2"/>
      </rPr>
      <t>3</t>
    </r>
    <r>
      <rPr>
        <sz val="12"/>
        <rFont val="Arial"/>
        <family val="2"/>
      </rPr>
      <t xml:space="preserve">)
N = air exchange rate (1/day) (Information on the determination of N can be found in TB 38 </t>
    </r>
    <r>
      <rPr>
        <i/>
        <sz val="12"/>
        <rFont val="Arial"/>
        <family val="2"/>
      </rPr>
      <t>Airtightness Measurement of Display Cases and Other Enclosures</t>
    </r>
    <r>
      <rPr>
        <sz val="12"/>
        <rFont val="Arial"/>
        <family val="2"/>
      </rPr>
      <t>.)
t = minimum number of days the targeted RH range must be maintained (days)
M</t>
    </r>
    <r>
      <rPr>
        <vertAlign val="subscript"/>
        <sz val="12"/>
        <rFont val="Arial"/>
        <family val="2"/>
      </rPr>
      <t>H</t>
    </r>
    <r>
      <rPr>
        <sz val="12"/>
        <rFont val="Arial"/>
        <family val="2"/>
      </rPr>
      <t> = specific moisture reservoir of sorbent, including the effect of hysteresis (g/kg for a 1% RH change)
F = targeted range of RH fluctuation in the enclosure (%) (For example, if a 5% increase and a 5% decrease are acceptable, F = 10% and F/2 = 5%.)
Three scenarios are offered:
1. RH fluctuations: to minimize RH fluctuations in the enclosure around the annual average RH in the room.
2. Keep RH low: to keep the RH in the enclosure lower than the RH in the room.
3. Keep RH high: to keep the RH in the enclosure higher than the RH in the room.</t>
    </r>
  </si>
  <si>
    <t>183 days should allow the sorbent to maintain the RH control throughout the year, thereby eliminating the need to recondition it.</t>
  </si>
  <si>
    <t>Number of days required for HR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</si>
</sst>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92" formatCode="0.000"/>
    <numFmt numFmtId="194" formatCode="0.0"/>
    <numFmt numFmtId="196" formatCode="0.00000"/>
    <numFmt numFmtId="197" formatCode="0.0000"/>
  </numFmts>
  <fonts count="38" x14ac:knownFonts="1">
    <font>
      <sz val="10"/>
      <name val="Arial"/>
    </font>
    <font>
      <sz val="10"/>
      <name val="Arial"/>
      <family val="2"/>
    </font>
    <font>
      <sz val="10"/>
      <name val="Arial"/>
      <family val="2"/>
    </font>
    <font>
      <vertAlign val="superscript"/>
      <sz val="10"/>
      <name val="Arial"/>
      <family val="2"/>
    </font>
    <font>
      <b/>
      <sz val="10"/>
      <name val="Arial"/>
      <family val="2"/>
    </font>
    <font>
      <vertAlign val="subscript"/>
      <sz val="10"/>
      <name val="Arial"/>
      <family val="2"/>
    </font>
    <font>
      <b/>
      <sz val="11"/>
      <name val="Calibri"/>
      <family val="2"/>
    </font>
    <font>
      <sz val="9"/>
      <name val="Arial"/>
      <family val="2"/>
    </font>
    <font>
      <b/>
      <sz val="12"/>
      <name val="Arial"/>
      <family val="2"/>
    </font>
    <font>
      <sz val="8"/>
      <name val="Arial"/>
      <family val="2"/>
    </font>
    <font>
      <sz val="11"/>
      <name val="Arial"/>
      <family val="2"/>
    </font>
    <font>
      <b/>
      <sz val="11"/>
      <name val="Arial"/>
      <family val="2"/>
    </font>
    <font>
      <b/>
      <sz val="16"/>
      <name val="Arial"/>
      <family val="2"/>
    </font>
    <font>
      <sz val="12"/>
      <name val="Arial"/>
      <family val="2"/>
    </font>
    <font>
      <i/>
      <sz val="12"/>
      <name val="Arial"/>
      <family val="2"/>
    </font>
    <font>
      <sz val="12"/>
      <color indexed="12"/>
      <name val="Arial"/>
      <family val="2"/>
    </font>
    <font>
      <b/>
      <sz val="14"/>
      <name val="Arial"/>
      <family val="2"/>
    </font>
    <font>
      <vertAlign val="superscript"/>
      <sz val="12"/>
      <name val="Arial"/>
      <family val="2"/>
    </font>
    <font>
      <vertAlign val="subscript"/>
      <sz val="12"/>
      <name val="Arial"/>
      <family val="2"/>
    </font>
    <font>
      <u/>
      <sz val="12"/>
      <color indexed="12"/>
      <name val="Arial"/>
      <family val="2"/>
    </font>
    <font>
      <i/>
      <u/>
      <sz val="12"/>
      <color indexed="12"/>
      <name val="Arial"/>
      <family val="2"/>
    </font>
    <font>
      <i/>
      <u/>
      <sz val="12"/>
      <color indexed="30"/>
      <name val="Arial"/>
      <family val="2"/>
    </font>
    <font>
      <u/>
      <sz val="10"/>
      <color theme="10"/>
      <name val="Arial"/>
      <family val="2"/>
    </font>
    <font>
      <sz val="10"/>
      <color rgb="FFFF0000"/>
      <name val="Arial"/>
      <family val="2"/>
    </font>
    <font>
      <sz val="10"/>
      <color theme="1"/>
      <name val="Arial"/>
      <family val="2"/>
    </font>
    <font>
      <sz val="14"/>
      <color rgb="FFFF0000"/>
      <name val="Calibri"/>
      <family val="2"/>
      <scheme val="minor"/>
    </font>
    <font>
      <sz val="10"/>
      <color rgb="FF000000"/>
      <name val="Arial"/>
      <family val="2"/>
    </font>
    <font>
      <sz val="9"/>
      <color theme="1"/>
      <name val="Arial"/>
      <family val="2"/>
    </font>
    <font>
      <b/>
      <sz val="11"/>
      <color theme="1"/>
      <name val="Calibri"/>
      <family val="2"/>
    </font>
    <font>
      <sz val="8"/>
      <color theme="1"/>
      <name val="Calibri"/>
      <family val="2"/>
      <scheme val="minor"/>
    </font>
    <font>
      <sz val="11"/>
      <color theme="1"/>
      <name val="Arial"/>
      <family val="2"/>
    </font>
    <font>
      <sz val="11"/>
      <color rgb="FFFF0000"/>
      <name val="Arial"/>
      <family val="2"/>
    </font>
    <font>
      <b/>
      <sz val="11"/>
      <color rgb="FFFF0000"/>
      <name val="Arial"/>
      <family val="2"/>
    </font>
    <font>
      <sz val="11"/>
      <color rgb="FF000000"/>
      <name val="Arial"/>
      <family val="2"/>
    </font>
    <font>
      <u/>
      <sz val="11"/>
      <color theme="10"/>
      <name val="Arial"/>
      <family val="2"/>
    </font>
    <font>
      <sz val="12"/>
      <color rgb="FF000000"/>
      <name val="Arial"/>
      <family val="2"/>
    </font>
    <font>
      <sz val="12"/>
      <color theme="1"/>
      <name val="Arial"/>
      <family val="2"/>
    </font>
    <font>
      <sz val="12"/>
      <color rgb="FFFF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9">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2" fillId="0" borderId="0" applyNumberFormat="0" applyFill="0" applyBorder="0" applyAlignment="0" applyProtection="0"/>
  </cellStyleXfs>
  <cellXfs count="194">
    <xf numFmtId="0" fontId="0" fillId="0" borderId="0" xfId="0"/>
    <xf numFmtId="0" fontId="2" fillId="0" borderId="0" xfId="0" applyFont="1"/>
    <xf numFmtId="0" fontId="0" fillId="0" borderId="0" xfId="0" applyFill="1"/>
    <xf numFmtId="0" fontId="23" fillId="0" borderId="0" xfId="0" applyFont="1" applyFill="1"/>
    <xf numFmtId="2" fontId="23" fillId="0" borderId="0" xfId="0" applyNumberFormat="1" applyFont="1" applyFill="1"/>
    <xf numFmtId="0" fontId="2" fillId="0" borderId="0" xfId="0" applyFont="1" applyBorder="1"/>
    <xf numFmtId="0" fontId="0" fillId="0" borderId="0" xfId="0" applyFill="1" applyBorder="1"/>
    <xf numFmtId="0" fontId="2" fillId="0" borderId="0" xfId="0" applyFont="1" applyFill="1" applyBorder="1"/>
    <xf numFmtId="0" fontId="24" fillId="0" borderId="0" xfId="0" applyFont="1" applyFill="1" applyBorder="1"/>
    <xf numFmtId="0" fontId="2" fillId="0" borderId="0" xfId="0" quotePrefix="1" applyFont="1" applyBorder="1"/>
    <xf numFmtId="0" fontId="4" fillId="0" borderId="0" xfId="0" applyFont="1" applyBorder="1"/>
    <xf numFmtId="0" fontId="4" fillId="0" borderId="1" xfId="0" applyFont="1" applyBorder="1"/>
    <xf numFmtId="2" fontId="2" fillId="2" borderId="0" xfId="0" applyNumberFormat="1" applyFont="1" applyFill="1" applyBorder="1"/>
    <xf numFmtId="0" fontId="1" fillId="0" borderId="0" xfId="0" applyFont="1" applyBorder="1"/>
    <xf numFmtId="0" fontId="1" fillId="0" borderId="0" xfId="0" applyFont="1" applyFill="1" applyBorder="1"/>
    <xf numFmtId="0" fontId="4" fillId="0" borderId="0" xfId="0" applyFont="1" applyBorder="1" applyAlignment="1">
      <alignment horizontal="right"/>
    </xf>
    <xf numFmtId="0" fontId="1" fillId="0" borderId="0" xfId="0" applyFont="1"/>
    <xf numFmtId="0" fontId="4" fillId="0" borderId="0" xfId="0" applyFont="1" applyAlignment="1">
      <alignment vertical="center"/>
    </xf>
    <xf numFmtId="0" fontId="0" fillId="0" borderId="1" xfId="0" applyBorder="1"/>
    <xf numFmtId="0" fontId="0" fillId="0" borderId="2" xfId="0" applyBorder="1"/>
    <xf numFmtId="14" fontId="1" fillId="0" borderId="0" xfId="0" quotePrefix="1" applyNumberFormat="1" applyFont="1"/>
    <xf numFmtId="0" fontId="1" fillId="0" borderId="0" xfId="0" applyFont="1" applyAlignment="1">
      <alignment horizontal="right"/>
    </xf>
    <xf numFmtId="0" fontId="0" fillId="0" borderId="0" xfId="0" applyAlignment="1">
      <alignment horizontal="center"/>
    </xf>
    <xf numFmtId="1" fontId="0" fillId="0" borderId="0" xfId="0" applyNumberFormat="1" applyAlignment="1">
      <alignment horizontal="center"/>
    </xf>
    <xf numFmtId="1" fontId="25" fillId="0" borderId="3" xfId="0" applyNumberFormat="1" applyFont="1" applyBorder="1"/>
    <xf numFmtId="0" fontId="0" fillId="0" borderId="4" xfId="0" applyBorder="1"/>
    <xf numFmtId="0" fontId="0" fillId="0" borderId="5" xfId="0" applyBorder="1"/>
    <xf numFmtId="0" fontId="0" fillId="0" borderId="0" xfId="0" applyBorder="1"/>
    <xf numFmtId="0" fontId="0" fillId="0" borderId="6" xfId="0" applyBorder="1"/>
    <xf numFmtId="0" fontId="26" fillId="0" borderId="1" xfId="0" applyFont="1" applyBorder="1"/>
    <xf numFmtId="0" fontId="4" fillId="0" borderId="1" xfId="0" applyFont="1" applyBorder="1" applyAlignment="1">
      <alignment vertical="center"/>
    </xf>
    <xf numFmtId="0" fontId="6" fillId="0" borderId="1" xfId="0" applyFont="1" applyBorder="1" applyAlignment="1">
      <alignment vertical="center"/>
    </xf>
    <xf numFmtId="0" fontId="0" fillId="0" borderId="7" xfId="0" applyBorder="1"/>
    <xf numFmtId="0" fontId="0" fillId="0" borderId="8" xfId="0" applyBorder="1"/>
    <xf numFmtId="0" fontId="6" fillId="0" borderId="3" xfId="0" applyFont="1" applyBorder="1" applyAlignment="1">
      <alignment vertical="center"/>
    </xf>
    <xf numFmtId="0" fontId="1" fillId="0" borderId="1" xfId="0" applyFon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3" borderId="0" xfId="0" applyFill="1" applyBorder="1" applyAlignment="1">
      <alignment horizontal="center"/>
    </xf>
    <xf numFmtId="1" fontId="0" fillId="3" borderId="0" xfId="0" applyNumberFormat="1" applyFill="1" applyBorder="1" applyAlignment="1">
      <alignment horizontal="center"/>
    </xf>
    <xf numFmtId="0" fontId="0" fillId="2" borderId="0" xfId="0" applyFill="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2" fontId="0" fillId="2" borderId="0" xfId="0" applyNumberFormat="1" applyFill="1" applyBorder="1" applyAlignment="1">
      <alignment horizontal="center"/>
    </xf>
    <xf numFmtId="0" fontId="0" fillId="0" borderId="6" xfId="0" applyBorder="1" applyAlignment="1">
      <alignment horizontal="center"/>
    </xf>
    <xf numFmtId="0" fontId="1" fillId="0" borderId="6" xfId="0" applyFont="1" applyBorder="1" applyAlignment="1">
      <alignment horizontal="center"/>
    </xf>
    <xf numFmtId="0" fontId="0" fillId="0" borderId="7" xfId="0" applyBorder="1" applyAlignment="1">
      <alignment horizontal="center"/>
    </xf>
    <xf numFmtId="2" fontId="0" fillId="2" borderId="7" xfId="0" applyNumberFormat="1" applyFill="1" applyBorder="1" applyAlignment="1">
      <alignment horizontal="center"/>
    </xf>
    <xf numFmtId="0" fontId="0" fillId="3" borderId="7" xfId="0" applyFill="1" applyBorder="1" applyAlignment="1">
      <alignment horizontal="center"/>
    </xf>
    <xf numFmtId="1" fontId="0" fillId="3" borderId="7" xfId="0" applyNumberFormat="1" applyFill="1" applyBorder="1" applyAlignment="1">
      <alignment horizontal="center"/>
    </xf>
    <xf numFmtId="1" fontId="1" fillId="0" borderId="6" xfId="0" applyNumberFormat="1" applyFont="1" applyFill="1" applyBorder="1" applyAlignment="1">
      <alignment horizontal="center"/>
    </xf>
    <xf numFmtId="1" fontId="0" fillId="0" borderId="6" xfId="0" applyNumberFormat="1" applyFill="1" applyBorder="1" applyAlignment="1">
      <alignment horizontal="center"/>
    </xf>
    <xf numFmtId="0" fontId="1" fillId="3" borderId="0" xfId="0" quotePrefix="1" applyFont="1" applyFill="1" applyBorder="1" applyAlignment="1">
      <alignment horizontal="center"/>
    </xf>
    <xf numFmtId="0" fontId="0" fillId="3" borderId="2"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Border="1"/>
    <xf numFmtId="1" fontId="0" fillId="0" borderId="8" xfId="0" applyNumberFormat="1" applyFill="1" applyBorder="1" applyAlignment="1">
      <alignment horizontal="center"/>
    </xf>
    <xf numFmtId="0" fontId="0" fillId="0" borderId="2" xfId="0" applyFill="1" applyBorder="1" applyAlignment="1">
      <alignment horizontal="center"/>
    </xf>
    <xf numFmtId="1" fontId="0" fillId="0" borderId="0" xfId="0" applyNumberFormat="1" applyFill="1" applyBorder="1" applyAlignment="1">
      <alignment horizontal="center"/>
    </xf>
    <xf numFmtId="196" fontId="0" fillId="0" borderId="0" xfId="0" applyNumberFormat="1" applyBorder="1" applyAlignment="1">
      <alignment horizontal="center"/>
    </xf>
    <xf numFmtId="194" fontId="0" fillId="2" borderId="6" xfId="0" applyNumberFormat="1" applyFill="1" applyBorder="1" applyAlignment="1">
      <alignment horizontal="center"/>
    </xf>
    <xf numFmtId="194" fontId="0" fillId="2" borderId="8" xfId="0" applyNumberFormat="1" applyFill="1" applyBorder="1" applyAlignment="1">
      <alignment horizontal="center"/>
    </xf>
    <xf numFmtId="0" fontId="4" fillId="0" borderId="0" xfId="0" applyFont="1" applyFill="1" applyBorder="1" applyAlignment="1">
      <alignment horizontal="right"/>
    </xf>
    <xf numFmtId="0" fontId="2" fillId="2" borderId="0" xfId="0" applyFont="1" applyFill="1" applyBorder="1"/>
    <xf numFmtId="0" fontId="0" fillId="3" borderId="0" xfId="0" applyFill="1" applyBorder="1"/>
    <xf numFmtId="0" fontId="0" fillId="2" borderId="0" xfId="0" applyFill="1" applyBorder="1"/>
    <xf numFmtId="9" fontId="27" fillId="0" borderId="0" xfId="0" applyNumberFormat="1" applyFont="1" applyFill="1" applyBorder="1"/>
    <xf numFmtId="0" fontId="1" fillId="0" borderId="1" xfId="0" applyFont="1" applyBorder="1"/>
    <xf numFmtId="0" fontId="8" fillId="0" borderId="0" xfId="0" applyFont="1"/>
    <xf numFmtId="0" fontId="8" fillId="0" borderId="0" xfId="0" applyFont="1" applyAlignment="1">
      <alignment vertical="center"/>
    </xf>
    <xf numFmtId="2" fontId="0" fillId="2" borderId="0" xfId="0" applyNumberFormat="1" applyFill="1" applyBorder="1"/>
    <xf numFmtId="0" fontId="9" fillId="0" borderId="0" xfId="0" applyFont="1" applyFill="1" applyBorder="1" applyAlignment="1">
      <alignment horizontal="center"/>
    </xf>
    <xf numFmtId="0" fontId="1" fillId="0" borderId="6" xfId="0" applyFont="1" applyFill="1" applyBorder="1" applyAlignment="1">
      <alignment horizontal="center"/>
    </xf>
    <xf numFmtId="2" fontId="0" fillId="2" borderId="6" xfId="0" applyNumberFormat="1" applyFill="1" applyBorder="1" applyAlignment="1">
      <alignment horizontal="center"/>
    </xf>
    <xf numFmtId="2" fontId="0" fillId="2" borderId="7" xfId="0" applyNumberFormat="1" applyFill="1" applyBorder="1"/>
    <xf numFmtId="2" fontId="0" fillId="2" borderId="8" xfId="0" applyNumberFormat="1" applyFill="1" applyBorder="1" applyAlignment="1">
      <alignment horizontal="center"/>
    </xf>
    <xf numFmtId="0" fontId="0" fillId="0" borderId="0" xfId="0" applyFont="1" applyFill="1" applyBorder="1"/>
    <xf numFmtId="0" fontId="4" fillId="0" borderId="0" xfId="0" applyFont="1" applyBorder="1" applyAlignment="1">
      <alignment horizontal="center"/>
    </xf>
    <xf numFmtId="0" fontId="24" fillId="2" borderId="0" xfId="0" applyFont="1" applyFill="1" applyBorder="1" applyAlignment="1">
      <alignment horizontal="center"/>
    </xf>
    <xf numFmtId="194" fontId="0" fillId="2" borderId="0" xfId="0" applyNumberFormat="1" applyFill="1" applyBorder="1" applyAlignment="1">
      <alignment horizontal="center"/>
    </xf>
    <xf numFmtId="194" fontId="0" fillId="2" borderId="7" xfId="0" applyNumberFormat="1" applyFill="1" applyBorder="1" applyAlignment="1">
      <alignment horizontal="center"/>
    </xf>
    <xf numFmtId="0" fontId="23" fillId="0" borderId="4" xfId="0" applyFont="1" applyBorder="1"/>
    <xf numFmtId="0" fontId="23" fillId="0" borderId="5" xfId="0" applyFont="1" applyBorder="1"/>
    <xf numFmtId="0" fontId="0" fillId="3" borderId="1" xfId="0" applyFill="1" applyBorder="1" applyAlignment="1">
      <alignment horizontal="center"/>
    </xf>
    <xf numFmtId="197" fontId="0" fillId="0" borderId="0" xfId="0" applyNumberFormat="1" applyFill="1" applyBorder="1" applyAlignment="1">
      <alignment horizontal="center"/>
    </xf>
    <xf numFmtId="0" fontId="0" fillId="0" borderId="0" xfId="0" applyAlignment="1">
      <alignment horizontal="right"/>
    </xf>
    <xf numFmtId="0" fontId="9" fillId="0" borderId="0" xfId="0" applyFont="1" applyBorder="1" applyAlignment="1">
      <alignment horizontal="center"/>
    </xf>
    <xf numFmtId="0" fontId="1" fillId="2" borderId="0" xfId="0" applyFont="1" applyFill="1" applyBorder="1" applyAlignment="1">
      <alignment horizontal="center"/>
    </xf>
    <xf numFmtId="0" fontId="1" fillId="2" borderId="4" xfId="0" applyFont="1" applyFill="1" applyBorder="1"/>
    <xf numFmtId="0" fontId="0" fillId="2" borderId="4" xfId="0" applyFill="1" applyBorder="1"/>
    <xf numFmtId="0" fontId="1" fillId="4" borderId="0" xfId="0" applyFont="1" applyFill="1" applyBorder="1"/>
    <xf numFmtId="0" fontId="0" fillId="4" borderId="0" xfId="0" applyFill="1" applyBorder="1"/>
    <xf numFmtId="1" fontId="0" fillId="3" borderId="1" xfId="0" applyNumberFormat="1" applyFill="1" applyBorder="1" applyAlignment="1">
      <alignment horizontal="center"/>
    </xf>
    <xf numFmtId="0" fontId="28" fillId="0" borderId="3" xfId="0" applyFont="1" applyBorder="1" applyAlignment="1">
      <alignment vertical="center"/>
    </xf>
    <xf numFmtId="0" fontId="24" fillId="2" borderId="0" xfId="0" applyFont="1" applyFill="1" applyBorder="1"/>
    <xf numFmtId="0" fontId="29" fillId="0" borderId="0" xfId="0" applyFont="1" applyAlignment="1">
      <alignment vertical="center"/>
    </xf>
    <xf numFmtId="0" fontId="10" fillId="0" borderId="0" xfId="0" applyFont="1"/>
    <xf numFmtId="0" fontId="11" fillId="0" borderId="0" xfId="0" applyFont="1" applyAlignment="1">
      <alignment vertical="center"/>
    </xf>
    <xf numFmtId="0" fontId="1" fillId="0" borderId="6" xfId="0" applyFont="1" applyBorder="1"/>
    <xf numFmtId="0" fontId="10" fillId="0" borderId="4" xfId="0" applyFont="1" applyBorder="1"/>
    <xf numFmtId="0" fontId="10" fillId="0" borderId="5" xfId="0" applyFont="1" applyBorder="1"/>
    <xf numFmtId="0" fontId="10" fillId="0" borderId="0" xfId="0" applyFont="1" applyBorder="1"/>
    <xf numFmtId="0" fontId="10" fillId="0" borderId="6" xfId="0" applyFont="1" applyBorder="1"/>
    <xf numFmtId="0" fontId="10" fillId="0" borderId="7" xfId="0" applyFont="1" applyBorder="1"/>
    <xf numFmtId="0" fontId="10" fillId="0" borderId="8" xfId="0" applyFont="1" applyBorder="1"/>
    <xf numFmtId="0" fontId="11" fillId="0" borderId="0" xfId="0" applyFont="1" applyBorder="1"/>
    <xf numFmtId="0" fontId="10" fillId="0" borderId="0" xfId="0" applyFont="1" applyFill="1" applyBorder="1"/>
    <xf numFmtId="0" fontId="30" fillId="0" borderId="0" xfId="0" applyFont="1" applyFill="1" applyBorder="1"/>
    <xf numFmtId="2" fontId="31" fillId="0" borderId="0" xfId="0" applyNumberFormat="1" applyFont="1" applyFill="1"/>
    <xf numFmtId="0" fontId="31" fillId="0" borderId="0" xfId="0" applyFont="1" applyFill="1"/>
    <xf numFmtId="0" fontId="10" fillId="0" borderId="0" xfId="0" applyFont="1" applyFill="1"/>
    <xf numFmtId="0" fontId="10" fillId="0" borderId="0" xfId="0" quotePrefix="1" applyFont="1" applyFill="1" applyProtection="1">
      <protection locked="0"/>
    </xf>
    <xf numFmtId="0" fontId="10" fillId="0" borderId="0" xfId="0" applyFont="1" applyFill="1" applyProtection="1">
      <protection locked="0"/>
    </xf>
    <xf numFmtId="0" fontId="31" fillId="0" borderId="0" xfId="0" applyFont="1" applyFill="1" applyProtection="1">
      <protection locked="0"/>
    </xf>
    <xf numFmtId="192" fontId="10" fillId="0" borderId="0" xfId="0" applyNumberFormat="1" applyFont="1"/>
    <xf numFmtId="0" fontId="30" fillId="0" borderId="0" xfId="0" applyFont="1" applyFill="1"/>
    <xf numFmtId="2" fontId="10" fillId="0" borderId="0" xfId="0" applyNumberFormat="1" applyFont="1" applyFill="1"/>
    <xf numFmtId="0" fontId="32" fillId="0" borderId="0" xfId="0" applyFont="1"/>
    <xf numFmtId="0" fontId="31" fillId="0" borderId="0" xfId="0" applyFont="1" applyFill="1" applyBorder="1"/>
    <xf numFmtId="0" fontId="33" fillId="0" borderId="0" xfId="0" applyFont="1" applyFill="1" applyBorder="1"/>
    <xf numFmtId="2" fontId="10" fillId="0" borderId="0" xfId="0" applyNumberFormat="1" applyFont="1" applyFill="1" applyBorder="1"/>
    <xf numFmtId="0" fontId="10" fillId="0" borderId="0" xfId="0" quotePrefix="1" applyFont="1" applyFill="1" applyBorder="1"/>
    <xf numFmtId="2" fontId="31" fillId="0" borderId="0" xfId="0" applyNumberFormat="1" applyFont="1" applyFill="1" applyBorder="1"/>
    <xf numFmtId="0" fontId="10" fillId="0" borderId="0" xfId="0" quotePrefix="1" applyFont="1" applyFill="1"/>
    <xf numFmtId="0" fontId="10" fillId="0" borderId="0" xfId="0" applyFont="1" applyAlignment="1">
      <alignment horizontal="center"/>
    </xf>
    <xf numFmtId="0" fontId="34" fillId="0" borderId="0" xfId="1" applyFont="1" applyAlignment="1">
      <alignment vertical="center"/>
    </xf>
    <xf numFmtId="0" fontId="1" fillId="0" borderId="1" xfId="0" applyFont="1" applyFill="1" applyBorder="1"/>
    <xf numFmtId="2" fontId="1" fillId="2" borderId="0" xfId="0" applyNumberFormat="1" applyFont="1" applyFill="1" applyBorder="1"/>
    <xf numFmtId="0" fontId="1" fillId="3" borderId="0" xfId="0" applyFont="1" applyFill="1" applyBorder="1"/>
    <xf numFmtId="0" fontId="1" fillId="2" borderId="0" xfId="0" applyFont="1" applyFill="1" applyBorder="1"/>
    <xf numFmtId="1" fontId="1" fillId="2" borderId="0" xfId="0" applyNumberFormat="1" applyFont="1" applyFill="1" applyBorder="1"/>
    <xf numFmtId="9" fontId="7" fillId="0" borderId="0" xfId="0" applyNumberFormat="1" applyFont="1" applyFill="1" applyBorder="1"/>
    <xf numFmtId="0" fontId="1" fillId="0" borderId="0" xfId="0" quotePrefix="1" applyFont="1" applyBorder="1"/>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vertical="center"/>
    </xf>
    <xf numFmtId="0" fontId="16" fillId="0" borderId="0" xfId="0" applyFont="1"/>
    <xf numFmtId="0" fontId="8" fillId="0" borderId="3" xfId="0" applyFont="1" applyBorder="1" applyAlignment="1">
      <alignment vertical="top"/>
    </xf>
    <xf numFmtId="0" fontId="13" fillId="0" borderId="1" xfId="0" applyFont="1" applyBorder="1" applyAlignment="1">
      <alignment vertical="top"/>
    </xf>
    <xf numFmtId="0" fontId="13" fillId="0" borderId="2" xfId="0" applyFont="1" applyBorder="1" applyAlignment="1">
      <alignment vertical="top"/>
    </xf>
    <xf numFmtId="0" fontId="13" fillId="0" borderId="0" xfId="0" applyFont="1"/>
    <xf numFmtId="0" fontId="8" fillId="0" borderId="0" xfId="0" applyFont="1" applyBorder="1"/>
    <xf numFmtId="0" fontId="8" fillId="0" borderId="0" xfId="0" applyFont="1" applyBorder="1" applyAlignment="1">
      <alignment horizontal="right"/>
    </xf>
    <xf numFmtId="0" fontId="13" fillId="0" borderId="0" xfId="0" applyFont="1" applyBorder="1"/>
    <xf numFmtId="0" fontId="13" fillId="0" borderId="0" xfId="0" applyFont="1" applyFill="1" applyBorder="1"/>
    <xf numFmtId="0" fontId="35" fillId="0" borderId="0" xfId="0" applyFont="1" applyBorder="1"/>
    <xf numFmtId="0" fontId="13" fillId="5" borderId="0" xfId="0" applyFont="1" applyFill="1" applyBorder="1" applyProtection="1">
      <protection locked="0"/>
    </xf>
    <xf numFmtId="194" fontId="13" fillId="5" borderId="0" xfId="0" applyNumberFormat="1" applyFont="1" applyFill="1" applyBorder="1" applyProtection="1">
      <protection locked="0"/>
    </xf>
    <xf numFmtId="0" fontId="36" fillId="5" borderId="0" xfId="0" applyFont="1" applyFill="1" applyBorder="1" applyProtection="1">
      <protection locked="0"/>
    </xf>
    <xf numFmtId="0" fontId="36" fillId="0" borderId="0" xfId="0" applyFont="1" applyFill="1" applyBorder="1"/>
    <xf numFmtId="0" fontId="8" fillId="0" borderId="3" xfId="0" applyFont="1" applyBorder="1"/>
    <xf numFmtId="0" fontId="35" fillId="0" borderId="4" xfId="0" applyFont="1" applyBorder="1"/>
    <xf numFmtId="0" fontId="13" fillId="0" borderId="4" xfId="0" applyFont="1" applyBorder="1"/>
    <xf numFmtId="0" fontId="36" fillId="2" borderId="4" xfId="0" applyFont="1" applyFill="1" applyBorder="1" applyProtection="1"/>
    <xf numFmtId="0" fontId="35" fillId="0" borderId="5" xfId="0" applyFont="1" applyBorder="1"/>
    <xf numFmtId="0" fontId="13" fillId="0" borderId="1" xfId="0" applyFont="1" applyBorder="1"/>
    <xf numFmtId="2" fontId="13" fillId="2" borderId="0" xfId="0" applyNumberFormat="1" applyFont="1" applyFill="1" applyBorder="1" applyProtection="1"/>
    <xf numFmtId="0" fontId="13" fillId="0" borderId="6" xfId="0" applyFont="1" applyFill="1" applyBorder="1"/>
    <xf numFmtId="2" fontId="13" fillId="0" borderId="6" xfId="0" applyNumberFormat="1" applyFont="1" applyFill="1" applyBorder="1"/>
    <xf numFmtId="0" fontId="13" fillId="0" borderId="2" xfId="0" applyFont="1" applyBorder="1"/>
    <xf numFmtId="0" fontId="13" fillId="0" borderId="7" xfId="0" applyFont="1" applyBorder="1"/>
    <xf numFmtId="0" fontId="13" fillId="0" borderId="7" xfId="0" applyFont="1" applyFill="1" applyBorder="1"/>
    <xf numFmtId="2" fontId="13" fillId="2" borderId="7" xfId="0" applyNumberFormat="1" applyFont="1" applyFill="1" applyBorder="1" applyProtection="1"/>
    <xf numFmtId="2" fontId="13" fillId="0" borderId="8" xfId="0" applyNumberFormat="1" applyFont="1" applyFill="1" applyBorder="1"/>
    <xf numFmtId="0" fontId="8" fillId="0" borderId="3" xfId="0" applyFont="1" applyBorder="1" applyAlignment="1">
      <alignment horizontal="left" vertical="top"/>
    </xf>
    <xf numFmtId="0" fontId="8" fillId="0" borderId="1" xfId="0" applyFont="1" applyBorder="1" applyAlignment="1">
      <alignment horizontal="left" vertical="top"/>
    </xf>
    <xf numFmtId="0" fontId="36" fillId="5" borderId="4" xfId="0" applyFont="1" applyFill="1" applyBorder="1" applyProtection="1">
      <protection locked="0"/>
    </xf>
    <xf numFmtId="0" fontId="8" fillId="0" borderId="1" xfId="0" applyFont="1" applyBorder="1"/>
    <xf numFmtId="2" fontId="13" fillId="0" borderId="7" xfId="0" applyNumberFormat="1" applyFont="1" applyFill="1" applyBorder="1" applyAlignment="1" applyProtection="1">
      <alignment horizontal="right"/>
      <protection locked="0"/>
    </xf>
    <xf numFmtId="0" fontId="16" fillId="0" borderId="0" xfId="0" applyFont="1" applyAlignment="1">
      <alignment vertical="center"/>
    </xf>
    <xf numFmtId="0" fontId="36" fillId="2" borderId="4" xfId="0" applyFont="1" applyFill="1" applyBorder="1"/>
    <xf numFmtId="2" fontId="13" fillId="2" borderId="0" xfId="0" applyNumberFormat="1" applyFont="1" applyFill="1" applyBorder="1"/>
    <xf numFmtId="2" fontId="36" fillId="2" borderId="0" xfId="0" applyNumberFormat="1" applyFont="1" applyFill="1" applyBorder="1"/>
    <xf numFmtId="2" fontId="13" fillId="2" borderId="7" xfId="0" applyNumberFormat="1" applyFont="1" applyFill="1" applyBorder="1"/>
    <xf numFmtId="2" fontId="13" fillId="0" borderId="7" xfId="0" applyNumberFormat="1" applyFont="1" applyFill="1" applyBorder="1" applyAlignment="1">
      <alignment horizontal="right"/>
    </xf>
    <xf numFmtId="2" fontId="13" fillId="0" borderId="0" xfId="0" applyNumberFormat="1" applyFont="1" applyFill="1"/>
    <xf numFmtId="0" fontId="13" fillId="0" borderId="0" xfId="0" applyFont="1" applyFill="1"/>
    <xf numFmtId="0" fontId="8" fillId="0" borderId="0" xfId="0" applyFont="1" applyBorder="1" applyAlignment="1">
      <alignment horizontal="left"/>
    </xf>
    <xf numFmtId="1" fontId="13" fillId="5" borderId="0" xfId="0" applyNumberFormat="1" applyFont="1" applyFill="1" applyBorder="1" applyProtection="1">
      <protection locked="0"/>
    </xf>
    <xf numFmtId="0" fontId="13" fillId="0" borderId="0" xfId="0" applyFont="1" applyAlignment="1">
      <alignment horizontal="right"/>
    </xf>
    <xf numFmtId="0" fontId="13" fillId="0" borderId="0" xfId="0" applyFont="1" applyAlignment="1">
      <alignment horizontal="center"/>
    </xf>
    <xf numFmtId="1" fontId="13" fillId="0" borderId="0" xfId="0" applyNumberFormat="1" applyFont="1" applyAlignment="1">
      <alignment horizontal="center"/>
    </xf>
    <xf numFmtId="0" fontId="13" fillId="0" borderId="0" xfId="0" quotePrefix="1" applyFont="1" applyFill="1"/>
    <xf numFmtId="2" fontId="37" fillId="0" borderId="0" xfId="0" applyNumberFormat="1" applyFont="1" applyFill="1"/>
    <xf numFmtId="0" fontId="37" fillId="0" borderId="0" xfId="0" applyFont="1" applyFill="1"/>
    <xf numFmtId="192" fontId="13" fillId="0" borderId="0" xfId="0" applyNumberFormat="1" applyFont="1"/>
    <xf numFmtId="0" fontId="36" fillId="0" borderId="0" xfId="0" applyFont="1" applyFill="1"/>
    <xf numFmtId="0" fontId="37" fillId="0" borderId="0" xfId="0" applyFont="1" applyBorder="1"/>
    <xf numFmtId="0" fontId="8" fillId="0" borderId="0" xfId="0" applyFont="1" applyAlignment="1">
      <alignment vertical="top"/>
    </xf>
    <xf numFmtId="0" fontId="12" fillId="0" borderId="0" xfId="0" applyFont="1" applyAlignment="1">
      <alignment vertical="top"/>
    </xf>
    <xf numFmtId="0" fontId="13" fillId="0"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CA"/>
              <a:t>Your data</a:t>
            </a:r>
          </a:p>
        </c:rich>
      </c:tx>
      <c:overlay val="0"/>
      <c:spPr>
        <a:noFill/>
        <a:ln w="25400">
          <a:noFill/>
        </a:ln>
      </c:spPr>
    </c:title>
    <c:autoTitleDeleted val="0"/>
    <c:plotArea>
      <c:layout/>
      <c:scatterChart>
        <c:scatterStyle val="smoothMarker"/>
        <c:varyColors val="0"/>
        <c:ser>
          <c:idx val="2"/>
          <c:order val="0"/>
          <c:tx>
            <c:v>avg ext RH</c:v>
          </c:tx>
          <c:spPr>
            <a:ln w="28575" cap="rnd">
              <a:solidFill>
                <a:schemeClr val="tx2">
                  <a:lumMod val="60000"/>
                  <a:lumOff val="40000"/>
                </a:schemeClr>
              </a:solidFill>
              <a:prstDash val="dash"/>
              <a:round/>
            </a:ln>
            <a:effectLst/>
          </c:spPr>
          <c:marker>
            <c:symbol val="none"/>
          </c:marker>
          <c:xVal>
            <c:numRef>
              <c:f>Intermediate!$K$3:$K$4</c:f>
              <c:numCache>
                <c:formatCode>General</c:formatCode>
                <c:ptCount val="2"/>
                <c:pt idx="0">
                  <c:v>0</c:v>
                </c:pt>
                <c:pt idx="1">
                  <c:v>365</c:v>
                </c:pt>
              </c:numCache>
            </c:numRef>
          </c:xVal>
          <c:yVal>
            <c:numRef>
              <c:f>Intermediate!$L$3:$L$4</c:f>
              <c:numCache>
                <c:formatCode>General</c:formatCode>
                <c:ptCount val="2"/>
                <c:pt idx="0">
                  <c:v>45</c:v>
                </c:pt>
                <c:pt idx="1">
                  <c:v>45</c:v>
                </c:pt>
              </c:numCache>
            </c:numRef>
          </c:yVal>
          <c:smooth val="1"/>
          <c:extLst>
            <c:ext xmlns:c16="http://schemas.microsoft.com/office/drawing/2014/chart" uri="{C3380CC4-5D6E-409C-BE32-E72D297353CC}">
              <c16:uniqueId val="{00000000-1F53-434B-93F4-987C5D08AA6C}"/>
            </c:ext>
          </c:extLst>
        </c:ser>
        <c:ser>
          <c:idx val="3"/>
          <c:order val="1"/>
          <c:tx>
            <c:v>Internal RH fluctuations</c:v>
          </c:tx>
          <c:spPr>
            <a:ln w="25400">
              <a:solidFill>
                <a:srgbClr val="FF0000"/>
              </a:solidFill>
              <a:prstDash val="solid"/>
            </a:ln>
          </c:spPr>
          <c:marker>
            <c:symbol val="none"/>
          </c:marker>
          <c:dPt>
            <c:idx val="1"/>
            <c:bubble3D val="0"/>
            <c:extLst>
              <c:ext xmlns:c16="http://schemas.microsoft.com/office/drawing/2014/chart" uri="{C3380CC4-5D6E-409C-BE32-E72D297353CC}">
                <c16:uniqueId val="{00000002-1F53-434B-93F4-987C5D08AA6C}"/>
              </c:ext>
            </c:extLst>
          </c:dPt>
          <c:xVal>
            <c:numRef>
              <c:f>Intermediate!$P$7:$P$189</c:f>
              <c:numCache>
                <c:formatCode>0</c:formatCode>
                <c:ptCount val="183"/>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pt idx="50">
                  <c:v>101</c:v>
                </c:pt>
                <c:pt idx="51">
                  <c:v>103</c:v>
                </c:pt>
                <c:pt idx="52">
                  <c:v>105</c:v>
                </c:pt>
                <c:pt idx="53">
                  <c:v>107</c:v>
                </c:pt>
                <c:pt idx="54">
                  <c:v>109</c:v>
                </c:pt>
                <c:pt idx="55">
                  <c:v>111</c:v>
                </c:pt>
                <c:pt idx="56">
                  <c:v>113</c:v>
                </c:pt>
                <c:pt idx="57">
                  <c:v>115</c:v>
                </c:pt>
                <c:pt idx="58">
                  <c:v>117</c:v>
                </c:pt>
                <c:pt idx="59">
                  <c:v>119</c:v>
                </c:pt>
                <c:pt idx="60">
                  <c:v>121</c:v>
                </c:pt>
                <c:pt idx="61">
                  <c:v>123</c:v>
                </c:pt>
                <c:pt idx="62">
                  <c:v>125</c:v>
                </c:pt>
                <c:pt idx="63">
                  <c:v>127</c:v>
                </c:pt>
                <c:pt idx="64">
                  <c:v>129</c:v>
                </c:pt>
                <c:pt idx="65">
                  <c:v>131</c:v>
                </c:pt>
                <c:pt idx="66">
                  <c:v>133</c:v>
                </c:pt>
                <c:pt idx="67">
                  <c:v>135</c:v>
                </c:pt>
                <c:pt idx="68">
                  <c:v>137</c:v>
                </c:pt>
                <c:pt idx="69">
                  <c:v>139</c:v>
                </c:pt>
                <c:pt idx="70">
                  <c:v>141</c:v>
                </c:pt>
                <c:pt idx="71">
                  <c:v>143</c:v>
                </c:pt>
                <c:pt idx="72">
                  <c:v>145</c:v>
                </c:pt>
                <c:pt idx="73">
                  <c:v>147</c:v>
                </c:pt>
                <c:pt idx="74">
                  <c:v>149</c:v>
                </c:pt>
                <c:pt idx="75">
                  <c:v>151</c:v>
                </c:pt>
                <c:pt idx="76">
                  <c:v>153</c:v>
                </c:pt>
                <c:pt idx="77">
                  <c:v>155</c:v>
                </c:pt>
                <c:pt idx="78">
                  <c:v>157</c:v>
                </c:pt>
                <c:pt idx="79">
                  <c:v>159</c:v>
                </c:pt>
                <c:pt idx="80">
                  <c:v>161</c:v>
                </c:pt>
                <c:pt idx="81">
                  <c:v>163</c:v>
                </c:pt>
                <c:pt idx="82">
                  <c:v>165</c:v>
                </c:pt>
                <c:pt idx="83">
                  <c:v>167</c:v>
                </c:pt>
                <c:pt idx="84">
                  <c:v>169</c:v>
                </c:pt>
                <c:pt idx="85">
                  <c:v>171</c:v>
                </c:pt>
                <c:pt idx="86">
                  <c:v>173</c:v>
                </c:pt>
                <c:pt idx="87">
                  <c:v>175</c:v>
                </c:pt>
                <c:pt idx="88">
                  <c:v>177</c:v>
                </c:pt>
                <c:pt idx="89">
                  <c:v>179</c:v>
                </c:pt>
                <c:pt idx="90">
                  <c:v>181</c:v>
                </c:pt>
                <c:pt idx="91">
                  <c:v>183</c:v>
                </c:pt>
                <c:pt idx="92">
                  <c:v>185</c:v>
                </c:pt>
                <c:pt idx="93">
                  <c:v>187</c:v>
                </c:pt>
                <c:pt idx="94">
                  <c:v>189</c:v>
                </c:pt>
                <c:pt idx="95">
                  <c:v>191</c:v>
                </c:pt>
                <c:pt idx="96">
                  <c:v>193</c:v>
                </c:pt>
                <c:pt idx="97">
                  <c:v>195</c:v>
                </c:pt>
                <c:pt idx="98">
                  <c:v>197</c:v>
                </c:pt>
                <c:pt idx="99">
                  <c:v>199</c:v>
                </c:pt>
                <c:pt idx="100">
                  <c:v>201</c:v>
                </c:pt>
                <c:pt idx="101">
                  <c:v>203</c:v>
                </c:pt>
                <c:pt idx="102">
                  <c:v>205</c:v>
                </c:pt>
                <c:pt idx="103">
                  <c:v>207</c:v>
                </c:pt>
                <c:pt idx="104">
                  <c:v>209</c:v>
                </c:pt>
                <c:pt idx="105">
                  <c:v>211</c:v>
                </c:pt>
                <c:pt idx="106">
                  <c:v>213</c:v>
                </c:pt>
                <c:pt idx="107">
                  <c:v>215</c:v>
                </c:pt>
                <c:pt idx="108">
                  <c:v>217</c:v>
                </c:pt>
                <c:pt idx="109">
                  <c:v>219</c:v>
                </c:pt>
                <c:pt idx="110">
                  <c:v>221</c:v>
                </c:pt>
                <c:pt idx="111">
                  <c:v>223</c:v>
                </c:pt>
                <c:pt idx="112">
                  <c:v>225</c:v>
                </c:pt>
                <c:pt idx="113">
                  <c:v>227</c:v>
                </c:pt>
                <c:pt idx="114">
                  <c:v>229</c:v>
                </c:pt>
                <c:pt idx="115">
                  <c:v>231</c:v>
                </c:pt>
                <c:pt idx="116">
                  <c:v>233</c:v>
                </c:pt>
                <c:pt idx="117">
                  <c:v>235</c:v>
                </c:pt>
                <c:pt idx="118">
                  <c:v>237</c:v>
                </c:pt>
                <c:pt idx="119">
                  <c:v>239</c:v>
                </c:pt>
                <c:pt idx="120">
                  <c:v>241</c:v>
                </c:pt>
                <c:pt idx="121">
                  <c:v>243</c:v>
                </c:pt>
                <c:pt idx="122">
                  <c:v>245</c:v>
                </c:pt>
                <c:pt idx="123">
                  <c:v>247</c:v>
                </c:pt>
                <c:pt idx="124">
                  <c:v>249</c:v>
                </c:pt>
                <c:pt idx="125">
                  <c:v>251</c:v>
                </c:pt>
                <c:pt idx="126">
                  <c:v>253</c:v>
                </c:pt>
                <c:pt idx="127">
                  <c:v>255</c:v>
                </c:pt>
                <c:pt idx="128">
                  <c:v>257</c:v>
                </c:pt>
                <c:pt idx="129">
                  <c:v>259</c:v>
                </c:pt>
                <c:pt idx="130">
                  <c:v>261</c:v>
                </c:pt>
                <c:pt idx="131">
                  <c:v>263</c:v>
                </c:pt>
                <c:pt idx="132">
                  <c:v>265</c:v>
                </c:pt>
                <c:pt idx="133">
                  <c:v>267</c:v>
                </c:pt>
                <c:pt idx="134">
                  <c:v>269</c:v>
                </c:pt>
                <c:pt idx="135">
                  <c:v>271</c:v>
                </c:pt>
                <c:pt idx="136">
                  <c:v>273</c:v>
                </c:pt>
                <c:pt idx="137">
                  <c:v>275</c:v>
                </c:pt>
                <c:pt idx="138">
                  <c:v>277</c:v>
                </c:pt>
                <c:pt idx="139">
                  <c:v>279</c:v>
                </c:pt>
                <c:pt idx="140">
                  <c:v>281</c:v>
                </c:pt>
                <c:pt idx="141">
                  <c:v>283</c:v>
                </c:pt>
                <c:pt idx="142">
                  <c:v>285</c:v>
                </c:pt>
                <c:pt idx="143">
                  <c:v>287</c:v>
                </c:pt>
                <c:pt idx="144">
                  <c:v>289</c:v>
                </c:pt>
                <c:pt idx="145">
                  <c:v>291</c:v>
                </c:pt>
                <c:pt idx="146">
                  <c:v>293</c:v>
                </c:pt>
                <c:pt idx="147">
                  <c:v>295</c:v>
                </c:pt>
                <c:pt idx="148">
                  <c:v>297</c:v>
                </c:pt>
                <c:pt idx="149">
                  <c:v>299</c:v>
                </c:pt>
                <c:pt idx="150">
                  <c:v>301</c:v>
                </c:pt>
                <c:pt idx="151">
                  <c:v>303</c:v>
                </c:pt>
                <c:pt idx="152">
                  <c:v>305</c:v>
                </c:pt>
                <c:pt idx="153">
                  <c:v>307</c:v>
                </c:pt>
                <c:pt idx="154">
                  <c:v>309</c:v>
                </c:pt>
                <c:pt idx="155">
                  <c:v>311</c:v>
                </c:pt>
                <c:pt idx="156">
                  <c:v>313</c:v>
                </c:pt>
                <c:pt idx="157">
                  <c:v>315</c:v>
                </c:pt>
                <c:pt idx="158">
                  <c:v>317</c:v>
                </c:pt>
                <c:pt idx="159">
                  <c:v>319</c:v>
                </c:pt>
                <c:pt idx="160">
                  <c:v>321</c:v>
                </c:pt>
                <c:pt idx="161">
                  <c:v>323</c:v>
                </c:pt>
                <c:pt idx="162">
                  <c:v>325</c:v>
                </c:pt>
                <c:pt idx="163">
                  <c:v>327</c:v>
                </c:pt>
                <c:pt idx="164">
                  <c:v>329</c:v>
                </c:pt>
                <c:pt idx="165">
                  <c:v>331</c:v>
                </c:pt>
                <c:pt idx="166">
                  <c:v>333</c:v>
                </c:pt>
                <c:pt idx="167">
                  <c:v>335</c:v>
                </c:pt>
                <c:pt idx="168">
                  <c:v>337</c:v>
                </c:pt>
                <c:pt idx="169">
                  <c:v>339</c:v>
                </c:pt>
                <c:pt idx="170">
                  <c:v>341</c:v>
                </c:pt>
                <c:pt idx="171">
                  <c:v>343</c:v>
                </c:pt>
                <c:pt idx="172">
                  <c:v>345</c:v>
                </c:pt>
                <c:pt idx="173">
                  <c:v>347</c:v>
                </c:pt>
                <c:pt idx="174">
                  <c:v>349</c:v>
                </c:pt>
                <c:pt idx="175">
                  <c:v>351</c:v>
                </c:pt>
                <c:pt idx="176">
                  <c:v>353</c:v>
                </c:pt>
                <c:pt idx="177">
                  <c:v>355</c:v>
                </c:pt>
                <c:pt idx="178">
                  <c:v>357</c:v>
                </c:pt>
                <c:pt idx="179">
                  <c:v>359</c:v>
                </c:pt>
                <c:pt idx="180">
                  <c:v>361</c:v>
                </c:pt>
                <c:pt idx="181">
                  <c:v>363</c:v>
                </c:pt>
                <c:pt idx="182">
                  <c:v>365</c:v>
                </c:pt>
              </c:numCache>
            </c:numRef>
          </c:xVal>
          <c:yVal>
            <c:numRef>
              <c:f>Intermediate!$O$7:$O$189</c:f>
              <c:numCache>
                <c:formatCode>0.00</c:formatCode>
                <c:ptCount val="183"/>
                <c:pt idx="0">
                  <c:v>45.086065886292822</c:v>
                </c:pt>
                <c:pt idx="1">
                  <c:v>45.258095655837607</c:v>
                </c:pt>
                <c:pt idx="2">
                  <c:v>45.429819537151182</c:v>
                </c:pt>
                <c:pt idx="3">
                  <c:v>45.601034007573915</c:v>
                </c:pt>
                <c:pt idx="4">
                  <c:v>45.771536148186669</c:v>
                </c:pt>
                <c:pt idx="5">
                  <c:v>45.941123884304993</c:v>
                </c:pt>
                <c:pt idx="6">
                  <c:v>46.109596224972776</c:v>
                </c:pt>
                <c:pt idx="7">
                  <c:v>46.276753501171449</c:v>
                </c:pt>
                <c:pt idx="8">
                  <c:v>46.442397602462513</c:v>
                </c:pt>
                <c:pt idx="9">
                  <c:v>46.60633221178287</c:v>
                </c:pt>
                <c:pt idx="10">
                  <c:v>46.768363038114643</c:v>
                </c:pt>
                <c:pt idx="11">
                  <c:v>46.928298046753838</c:v>
                </c:pt>
                <c:pt idx="12">
                  <c:v>47.085947686904873</c:v>
                </c:pt>
                <c:pt idx="13">
                  <c:v>47.241125116331204</c:v>
                </c:pt>
                <c:pt idx="14">
                  <c:v>47.393646422795889</c:v>
                </c:pt>
                <c:pt idx="15">
                  <c:v>47.543330842029533</c:v>
                </c:pt>
                <c:pt idx="16">
                  <c:v>47.690000971967429</c:v>
                </c:pt>
                <c:pt idx="17">
                  <c:v>47.833482983001815</c:v>
                </c:pt>
                <c:pt idx="18">
                  <c:v>47.973606824000193</c:v>
                </c:pt>
                <c:pt idx="19">
                  <c:v>48.110206423845497</c:v>
                </c:pt>
                <c:pt idx="20">
                  <c:v>48.243119888259251</c:v>
                </c:pt>
                <c:pt idx="21">
                  <c:v>48.372189691674414</c:v>
                </c:pt>
                <c:pt idx="22">
                  <c:v>48.497262863930594</c:v>
                </c:pt>
                <c:pt idx="23">
                  <c:v>48.618191171570274</c:v>
                </c:pt>
                <c:pt idx="24">
                  <c:v>48.734831293521253</c:v>
                </c:pt>
                <c:pt idx="25">
                  <c:v>48.847044990957002</c:v>
                </c:pt>
                <c:pt idx="26">
                  <c:v>48.954699271133741</c:v>
                </c:pt>
                <c:pt idx="27">
                  <c:v>49.057666545009965</c:v>
                </c:pt>
                <c:pt idx="28">
                  <c:v>49.155824778461628</c:v>
                </c:pt>
                <c:pt idx="29">
                  <c:v>49.249057636913818</c:v>
                </c:pt>
                <c:pt idx="30">
                  <c:v>49.337254623217433</c:v>
                </c:pt>
                <c:pt idx="31">
                  <c:v>49.420311208607544</c:v>
                </c:pt>
                <c:pt idx="32">
                  <c:v>49.49812895658814</c:v>
                </c:pt>
                <c:pt idx="33">
                  <c:v>49.570615639596511</c:v>
                </c:pt>
                <c:pt idx="34">
                  <c:v>49.637685348308899</c:v>
                </c:pt>
                <c:pt idx="35">
                  <c:v>49.699258593458055</c:v>
                </c:pt>
                <c:pt idx="36">
                  <c:v>49.755262400041794</c:v>
                </c:pt>
                <c:pt idx="37">
                  <c:v>49.805630393811064</c:v>
                </c:pt>
                <c:pt idx="38">
                  <c:v>49.850302879935001</c:v>
                </c:pt>
                <c:pt idx="39">
                  <c:v>49.889226913749653</c:v>
                </c:pt>
                <c:pt idx="40">
                  <c:v>49.92235636350663</c:v>
                </c:pt>
                <c:pt idx="41">
                  <c:v>49.949651965047252</c:v>
                </c:pt>
                <c:pt idx="42">
                  <c:v>49.97108136833738</c:v>
                </c:pt>
                <c:pt idx="43">
                  <c:v>49.98661917580786</c:v>
                </c:pt>
                <c:pt idx="44">
                  <c:v>49.99624697245504</c:v>
                </c:pt>
                <c:pt idx="45">
                  <c:v>49.999953347665766</c:v>
                </c:pt>
                <c:pt idx="46">
                  <c:v>49.997733908740919</c:v>
                </c:pt>
                <c:pt idx="47">
                  <c:v>49.989591286101565</c:v>
                </c:pt>
                <c:pt idx="48">
                  <c:v>49.975535130171409</c:v>
                </c:pt>
                <c:pt idx="49">
                  <c:v>49.955582099939377</c:v>
                </c:pt>
                <c:pt idx="50">
                  <c:v>49.929755843215851</c:v>
                </c:pt>
                <c:pt idx="51">
                  <c:v>49.898086968605853</c:v>
                </c:pt>
                <c:pt idx="52">
                  <c:v>49.860613009232537</c:v>
                </c:pt>
                <c:pt idx="53">
                  <c:v>49.817378378253942</c:v>
                </c:pt>
                <c:pt idx="54">
                  <c:v>49.768434316225644</c:v>
                </c:pt>
                <c:pt idx="55">
                  <c:v>49.713838830371799</c:v>
                </c:pt>
                <c:pt idx="56">
                  <c:v>49.653656625836497</c:v>
                </c:pt>
                <c:pt idx="57">
                  <c:v>49.587959028996927</c:v>
                </c:pt>
                <c:pt idx="58">
                  <c:v>49.516823902929175</c:v>
                </c:pt>
                <c:pt idx="59">
                  <c:v>49.440335555127007</c:v>
                </c:pt>
                <c:pt idx="60">
                  <c:v>49.358584637582751</c:v>
                </c:pt>
                <c:pt idx="61">
                  <c:v>49.271668039348995</c:v>
                </c:pt>
                <c:pt idx="62">
                  <c:v>49.179688771708172</c:v>
                </c:pt>
                <c:pt idx="63">
                  <c:v>49.082755846086265</c:v>
                </c:pt>
                <c:pt idx="64">
                  <c:v>48.98098414485537</c:v>
                </c:pt>
                <c:pt idx="65">
                  <c:v>48.874494285178038</c:v>
                </c:pt>
                <c:pt idx="66">
                  <c:v>48.763412476055024</c:v>
                </c:pt>
                <c:pt idx="67">
                  <c:v>48.647870368745622</c:v>
                </c:pt>
                <c:pt idx="68">
                  <c:v>48.52800490073809</c:v>
                </c:pt>
                <c:pt idx="69">
                  <c:v>48.40395813345485</c:v>
                </c:pt>
                <c:pt idx="70">
                  <c:v>48.27587708388505</c:v>
                </c:pt>
                <c:pt idx="71">
                  <c:v>48.143913550343854</c:v>
                </c:pt>
                <c:pt idx="72">
                  <c:v>48.008223932565024</c:v>
                </c:pt>
                <c:pt idx="73">
                  <c:v>47.868969046340069</c:v>
                </c:pt>
                <c:pt idx="74">
                  <c:v>47.726313932923539</c:v>
                </c:pt>
                <c:pt idx="75">
                  <c:v>47.580427663430477</c:v>
                </c:pt>
                <c:pt idx="76">
                  <c:v>47.431483138457715</c:v>
                </c:pt>
                <c:pt idx="77">
                  <c:v>47.279656883166602</c:v>
                </c:pt>
                <c:pt idx="78">
                  <c:v>47.125128838070033</c:v>
                </c:pt>
                <c:pt idx="79">
                  <c:v>46.968082145771596</c:v>
                </c:pt>
                <c:pt idx="80">
                  <c:v>46.8087029339098</c:v>
                </c:pt>
                <c:pt idx="81">
                  <c:v>46.647180094564391</c:v>
                </c:pt>
                <c:pt idx="82">
                  <c:v>46.483705060386448</c:v>
                </c:pt>
                <c:pt idx="83">
                  <c:v>46.318471577717396</c:v>
                </c:pt>
                <c:pt idx="84">
                  <c:v>46.15167547696587</c:v>
                </c:pt>
                <c:pt idx="85">
                  <c:v>45.983514440514661</c:v>
                </c:pt>
                <c:pt idx="86">
                  <c:v>45.814187768432703</c:v>
                </c:pt>
                <c:pt idx="87">
                  <c:v>45.643896142269831</c:v>
                </c:pt>
                <c:pt idx="88">
                  <c:v>45.472841387214274</c:v>
                </c:pt>
                <c:pt idx="89">
                  <c:v>45.301226232894678</c:v>
                </c:pt>
                <c:pt idx="90">
                  <c:v>45.129254073110282</c:v>
                </c:pt>
                <c:pt idx="91">
                  <c:v>44.95712872477386</c:v>
                </c:pt>
                <c:pt idx="92">
                  <c:v>44.785054186353264</c:v>
                </c:pt>
                <c:pt idx="93">
                  <c:v>44.613234396097766</c:v>
                </c:pt>
                <c:pt idx="94">
                  <c:v>44.44187299033576</c:v>
                </c:pt>
                <c:pt idx="95">
                  <c:v>44.271173062130309</c:v>
                </c:pt>
                <c:pt idx="96">
                  <c:v>44.101336920578561</c:v>
                </c:pt>
                <c:pt idx="97">
                  <c:v>43.932565851040259</c:v>
                </c:pt>
                <c:pt idx="98">
                  <c:v>43.76505987657962</c:v>
                </c:pt>
                <c:pt idx="99">
                  <c:v>43.59901752090321</c:v>
                </c:pt>
                <c:pt idx="100">
                  <c:v>43.43463557307485</c:v>
                </c:pt>
                <c:pt idx="101">
                  <c:v>43.272108854286323</c:v>
                </c:pt>
                <c:pt idx="102">
                  <c:v>43.111629986960402</c:v>
                </c:pt>
                <c:pt idx="103">
                  <c:v>42.953389166459793</c:v>
                </c:pt>
                <c:pt idx="104">
                  <c:v>42.797573935672546</c:v>
                </c:pt>
                <c:pt idx="105">
                  <c:v>42.644368962741133</c:v>
                </c:pt>
                <c:pt idx="106">
                  <c:v>42.493955822198572</c:v>
                </c:pt>
                <c:pt idx="107">
                  <c:v>42.346512779771047</c:v>
                </c:pt>
                <c:pt idx="108">
                  <c:v>42.202214581102012</c:v>
                </c:pt>
                <c:pt idx="109">
                  <c:v>42.061232244648245</c:v>
                </c:pt>
                <c:pt idx="110">
                  <c:v>41.923732858993191</c:v>
                </c:pt>
                <c:pt idx="111">
                  <c:v>41.789879384817993</c:v>
                </c:pt>
                <c:pt idx="112">
                  <c:v>41.659830461764692</c:v>
                </c:pt>
                <c:pt idx="113">
                  <c:v>41.533740220420711</c:v>
                </c:pt>
                <c:pt idx="114">
                  <c:v>41.411758099647294</c:v>
                </c:pt>
                <c:pt idx="115">
                  <c:v>41.294028669468446</c:v>
                </c:pt>
                <c:pt idx="116">
                  <c:v>41.180691459730369</c:v>
                </c:pt>
                <c:pt idx="117">
                  <c:v>41.071880794734263</c:v>
                </c:pt>
                <c:pt idx="118">
                  <c:v>40.967725634038743</c:v>
                </c:pt>
                <c:pt idx="119">
                  <c:v>40.868349419620273</c:v>
                </c:pt>
                <c:pt idx="120">
                  <c:v>40.773869929573024</c:v>
                </c:pt>
                <c:pt idx="121">
                  <c:v>40.684399138521286</c:v>
                </c:pt>
                <c:pt idx="122">
                  <c:v>40.600043084910126</c:v>
                </c:pt>
                <c:pt idx="123">
                  <c:v>40.520901745331336</c:v>
                </c:pt>
                <c:pt idx="124">
                  <c:v>40.447068916033857</c:v>
                </c:pt>
                <c:pt idx="125">
                  <c:v>40.378632101758839</c:v>
                </c:pt>
                <c:pt idx="126">
                  <c:v>40.315672412031361</c:v>
                </c:pt>
                <c:pt idx="127">
                  <c:v>40.258264465031516</c:v>
                </c:pt>
                <c:pt idx="128">
                  <c:v>40.206476299158894</c:v>
                </c:pt>
                <c:pt idx="129">
                  <c:v>40.160369292395274</c:v>
                </c:pt>
                <c:pt idx="130">
                  <c:v>40.11999808956098</c:v>
                </c:pt>
                <c:pt idx="131">
                  <c:v>40.085410537551354</c:v>
                </c:pt>
                <c:pt idx="132">
                  <c:v>40.056647628629776</c:v>
                </c:pt>
                <c:pt idx="133">
                  <c:v>40.033743451844778</c:v>
                </c:pt>
                <c:pt idx="134">
                  <c:v>40.016725152628553</c:v>
                </c:pt>
                <c:pt idx="135">
                  <c:v>40.00561290062489</c:v>
                </c:pt>
                <c:pt idx="136">
                  <c:v>40.000419865784686</c:v>
                </c:pt>
                <c:pt idx="137">
                  <c:v>40.001152202757211</c:v>
                </c:pt>
                <c:pt idx="138">
                  <c:v>40.007809043595813</c:v>
                </c:pt>
                <c:pt idx="139">
                  <c:v>40.020382498786567</c:v>
                </c:pt>
                <c:pt idx="140">
                  <c:v>40.038857666598744</c:v>
                </c:pt>
                <c:pt idx="141">
                  <c:v>40.063212650745911</c:v>
                </c:pt>
                <c:pt idx="142">
                  <c:v>40.093418586336895</c:v>
                </c:pt>
                <c:pt idx="143">
                  <c:v>40.129439674085631</c:v>
                </c:pt>
                <c:pt idx="144">
                  <c:v>40.171233222739616</c:v>
                </c:pt>
                <c:pt idx="145">
                  <c:v>40.218749699676401</c:v>
                </c:pt>
                <c:pt idx="146">
                  <c:v>40.2719327896084</c:v>
                </c:pt>
                <c:pt idx="147">
                  <c:v>40.330719461326282</c:v>
                </c:pt>
                <c:pt idx="148">
                  <c:v>40.395040042401916</c:v>
                </c:pt>
                <c:pt idx="149">
                  <c:v>40.464818301762335</c:v>
                </c:pt>
                <c:pt idx="150">
                  <c:v>40.539971540036774</c:v>
                </c:pt>
                <c:pt idx="151">
                  <c:v>40.620410687569823</c:v>
                </c:pt>
                <c:pt idx="152">
                  <c:v>40.706040409984482</c:v>
                </c:pt>
                <c:pt idx="153">
                  <c:v>40.796759221169921</c:v>
                </c:pt>
                <c:pt idx="154">
                  <c:v>40.892459603560226</c:v>
                </c:pt>
                <c:pt idx="155">
                  <c:v>40.993028135561367</c:v>
                </c:pt>
                <c:pt idx="156">
                  <c:v>41.098345625975526</c:v>
                </c:pt>
                <c:pt idx="157">
                  <c:v>41.208287255263393</c:v>
                </c:pt>
                <c:pt idx="158">
                  <c:v>41.322722723477035</c:v>
                </c:pt>
                <c:pt idx="159">
                  <c:v>41.44151640468796</c:v>
                </c:pt>
                <c:pt idx="160">
                  <c:v>41.564527507727462</c:v>
                </c:pt>
                <c:pt idx="161">
                  <c:v>41.691610243048601</c:v>
                </c:pt>
                <c:pt idx="162">
                  <c:v>41.822613995512199</c:v>
                </c:pt>
                <c:pt idx="163">
                  <c:v>41.957383502891965</c:v>
                </c:pt>
                <c:pt idx="164">
                  <c:v>42.095759039887199</c:v>
                </c:pt>
                <c:pt idx="165">
                  <c:v>42.23757660742509</c:v>
                </c:pt>
                <c:pt idx="166">
                  <c:v>42.382668127028111</c:v>
                </c:pt>
                <c:pt idx="167">
                  <c:v>42.530861640016255</c:v>
                </c:pt>
                <c:pt idx="168">
                  <c:v>42.681981511307924</c:v>
                </c:pt>
                <c:pt idx="169">
                  <c:v>42.835848637578138</c:v>
                </c:pt>
                <c:pt idx="170">
                  <c:v>42.992280659527005</c:v>
                </c:pt>
                <c:pt idx="171">
                  <c:v>43.151092178007296</c:v>
                </c:pt>
                <c:pt idx="172">
                  <c:v>43.312094973754611</c:v>
                </c:pt>
                <c:pt idx="173">
                  <c:v>43.475098230459956</c:v>
                </c:pt>
                <c:pt idx="174">
                  <c:v>43.639908760920278</c:v>
                </c:pt>
                <c:pt idx="175">
                  <c:v>43.806331235998833</c:v>
                </c:pt>
                <c:pt idx="176">
                  <c:v>43.974168416124229</c:v>
                </c:pt>
                <c:pt idx="177">
                  <c:v>44.143221385053586</c:v>
                </c:pt>
                <c:pt idx="178">
                  <c:v>44.313289785622899</c:v>
                </c:pt>
                <c:pt idx="179">
                  <c:v>44.484172057205079</c:v>
                </c:pt>
                <c:pt idx="180">
                  <c:v>44.655665674594395</c:v>
                </c:pt>
                <c:pt idx="181">
                  <c:v>44.827567388034005</c:v>
                </c:pt>
                <c:pt idx="182">
                  <c:v>44.999673464102294</c:v>
                </c:pt>
              </c:numCache>
            </c:numRef>
          </c:yVal>
          <c:smooth val="1"/>
          <c:extLst>
            <c:ext xmlns:c16="http://schemas.microsoft.com/office/drawing/2014/chart" uri="{C3380CC4-5D6E-409C-BE32-E72D297353CC}">
              <c16:uniqueId val="{00000003-1F53-434B-93F4-987C5D08AA6C}"/>
            </c:ext>
          </c:extLst>
        </c:ser>
        <c:ser>
          <c:idx val="4"/>
          <c:order val="2"/>
          <c:tx>
            <c:v>External RH fluctuations</c:v>
          </c:tx>
          <c:spPr>
            <a:ln>
              <a:solidFill>
                <a:srgbClr val="002060"/>
              </a:solidFill>
            </a:ln>
          </c:spPr>
          <c:marker>
            <c:symbol val="none"/>
          </c:marker>
          <c:xVal>
            <c:numRef>
              <c:f>Intermediate!$P$7:$P$189</c:f>
              <c:numCache>
                <c:formatCode>0</c:formatCode>
                <c:ptCount val="183"/>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pt idx="50">
                  <c:v>101</c:v>
                </c:pt>
                <c:pt idx="51">
                  <c:v>103</c:v>
                </c:pt>
                <c:pt idx="52">
                  <c:v>105</c:v>
                </c:pt>
                <c:pt idx="53">
                  <c:v>107</c:v>
                </c:pt>
                <c:pt idx="54">
                  <c:v>109</c:v>
                </c:pt>
                <c:pt idx="55">
                  <c:v>111</c:v>
                </c:pt>
                <c:pt idx="56">
                  <c:v>113</c:v>
                </c:pt>
                <c:pt idx="57">
                  <c:v>115</c:v>
                </c:pt>
                <c:pt idx="58">
                  <c:v>117</c:v>
                </c:pt>
                <c:pt idx="59">
                  <c:v>119</c:v>
                </c:pt>
                <c:pt idx="60">
                  <c:v>121</c:v>
                </c:pt>
                <c:pt idx="61">
                  <c:v>123</c:v>
                </c:pt>
                <c:pt idx="62">
                  <c:v>125</c:v>
                </c:pt>
                <c:pt idx="63">
                  <c:v>127</c:v>
                </c:pt>
                <c:pt idx="64">
                  <c:v>129</c:v>
                </c:pt>
                <c:pt idx="65">
                  <c:v>131</c:v>
                </c:pt>
                <c:pt idx="66">
                  <c:v>133</c:v>
                </c:pt>
                <c:pt idx="67">
                  <c:v>135</c:v>
                </c:pt>
                <c:pt idx="68">
                  <c:v>137</c:v>
                </c:pt>
                <c:pt idx="69">
                  <c:v>139</c:v>
                </c:pt>
                <c:pt idx="70">
                  <c:v>141</c:v>
                </c:pt>
                <c:pt idx="71">
                  <c:v>143</c:v>
                </c:pt>
                <c:pt idx="72">
                  <c:v>145</c:v>
                </c:pt>
                <c:pt idx="73">
                  <c:v>147</c:v>
                </c:pt>
                <c:pt idx="74">
                  <c:v>149</c:v>
                </c:pt>
                <c:pt idx="75">
                  <c:v>151</c:v>
                </c:pt>
                <c:pt idx="76">
                  <c:v>153</c:v>
                </c:pt>
                <c:pt idx="77">
                  <c:v>155</c:v>
                </c:pt>
                <c:pt idx="78">
                  <c:v>157</c:v>
                </c:pt>
                <c:pt idx="79">
                  <c:v>159</c:v>
                </c:pt>
                <c:pt idx="80">
                  <c:v>161</c:v>
                </c:pt>
                <c:pt idx="81">
                  <c:v>163</c:v>
                </c:pt>
                <c:pt idx="82">
                  <c:v>165</c:v>
                </c:pt>
                <c:pt idx="83">
                  <c:v>167</c:v>
                </c:pt>
                <c:pt idx="84">
                  <c:v>169</c:v>
                </c:pt>
                <c:pt idx="85">
                  <c:v>171</c:v>
                </c:pt>
                <c:pt idx="86">
                  <c:v>173</c:v>
                </c:pt>
                <c:pt idx="87">
                  <c:v>175</c:v>
                </c:pt>
                <c:pt idx="88">
                  <c:v>177</c:v>
                </c:pt>
                <c:pt idx="89">
                  <c:v>179</c:v>
                </c:pt>
                <c:pt idx="90">
                  <c:v>181</c:v>
                </c:pt>
                <c:pt idx="91">
                  <c:v>183</c:v>
                </c:pt>
                <c:pt idx="92">
                  <c:v>185</c:v>
                </c:pt>
                <c:pt idx="93">
                  <c:v>187</c:v>
                </c:pt>
                <c:pt idx="94">
                  <c:v>189</c:v>
                </c:pt>
                <c:pt idx="95">
                  <c:v>191</c:v>
                </c:pt>
                <c:pt idx="96">
                  <c:v>193</c:v>
                </c:pt>
                <c:pt idx="97">
                  <c:v>195</c:v>
                </c:pt>
                <c:pt idx="98">
                  <c:v>197</c:v>
                </c:pt>
                <c:pt idx="99">
                  <c:v>199</c:v>
                </c:pt>
                <c:pt idx="100">
                  <c:v>201</c:v>
                </c:pt>
                <c:pt idx="101">
                  <c:v>203</c:v>
                </c:pt>
                <c:pt idx="102">
                  <c:v>205</c:v>
                </c:pt>
                <c:pt idx="103">
                  <c:v>207</c:v>
                </c:pt>
                <c:pt idx="104">
                  <c:v>209</c:v>
                </c:pt>
                <c:pt idx="105">
                  <c:v>211</c:v>
                </c:pt>
                <c:pt idx="106">
                  <c:v>213</c:v>
                </c:pt>
                <c:pt idx="107">
                  <c:v>215</c:v>
                </c:pt>
                <c:pt idx="108">
                  <c:v>217</c:v>
                </c:pt>
                <c:pt idx="109">
                  <c:v>219</c:v>
                </c:pt>
                <c:pt idx="110">
                  <c:v>221</c:v>
                </c:pt>
                <c:pt idx="111">
                  <c:v>223</c:v>
                </c:pt>
                <c:pt idx="112">
                  <c:v>225</c:v>
                </c:pt>
                <c:pt idx="113">
                  <c:v>227</c:v>
                </c:pt>
                <c:pt idx="114">
                  <c:v>229</c:v>
                </c:pt>
                <c:pt idx="115">
                  <c:v>231</c:v>
                </c:pt>
                <c:pt idx="116">
                  <c:v>233</c:v>
                </c:pt>
                <c:pt idx="117">
                  <c:v>235</c:v>
                </c:pt>
                <c:pt idx="118">
                  <c:v>237</c:v>
                </c:pt>
                <c:pt idx="119">
                  <c:v>239</c:v>
                </c:pt>
                <c:pt idx="120">
                  <c:v>241</c:v>
                </c:pt>
                <c:pt idx="121">
                  <c:v>243</c:v>
                </c:pt>
                <c:pt idx="122">
                  <c:v>245</c:v>
                </c:pt>
                <c:pt idx="123">
                  <c:v>247</c:v>
                </c:pt>
                <c:pt idx="124">
                  <c:v>249</c:v>
                </c:pt>
                <c:pt idx="125">
                  <c:v>251</c:v>
                </c:pt>
                <c:pt idx="126">
                  <c:v>253</c:v>
                </c:pt>
                <c:pt idx="127">
                  <c:v>255</c:v>
                </c:pt>
                <c:pt idx="128">
                  <c:v>257</c:v>
                </c:pt>
                <c:pt idx="129">
                  <c:v>259</c:v>
                </c:pt>
                <c:pt idx="130">
                  <c:v>261</c:v>
                </c:pt>
                <c:pt idx="131">
                  <c:v>263</c:v>
                </c:pt>
                <c:pt idx="132">
                  <c:v>265</c:v>
                </c:pt>
                <c:pt idx="133">
                  <c:v>267</c:v>
                </c:pt>
                <c:pt idx="134">
                  <c:v>269</c:v>
                </c:pt>
                <c:pt idx="135">
                  <c:v>271</c:v>
                </c:pt>
                <c:pt idx="136">
                  <c:v>273</c:v>
                </c:pt>
                <c:pt idx="137">
                  <c:v>275</c:v>
                </c:pt>
                <c:pt idx="138">
                  <c:v>277</c:v>
                </c:pt>
                <c:pt idx="139">
                  <c:v>279</c:v>
                </c:pt>
                <c:pt idx="140">
                  <c:v>281</c:v>
                </c:pt>
                <c:pt idx="141">
                  <c:v>283</c:v>
                </c:pt>
                <c:pt idx="142">
                  <c:v>285</c:v>
                </c:pt>
                <c:pt idx="143">
                  <c:v>287</c:v>
                </c:pt>
                <c:pt idx="144">
                  <c:v>289</c:v>
                </c:pt>
                <c:pt idx="145">
                  <c:v>291</c:v>
                </c:pt>
                <c:pt idx="146">
                  <c:v>293</c:v>
                </c:pt>
                <c:pt idx="147">
                  <c:v>295</c:v>
                </c:pt>
                <c:pt idx="148">
                  <c:v>297</c:v>
                </c:pt>
                <c:pt idx="149">
                  <c:v>299</c:v>
                </c:pt>
                <c:pt idx="150">
                  <c:v>301</c:v>
                </c:pt>
                <c:pt idx="151">
                  <c:v>303</c:v>
                </c:pt>
                <c:pt idx="152">
                  <c:v>305</c:v>
                </c:pt>
                <c:pt idx="153">
                  <c:v>307</c:v>
                </c:pt>
                <c:pt idx="154">
                  <c:v>309</c:v>
                </c:pt>
                <c:pt idx="155">
                  <c:v>311</c:v>
                </c:pt>
                <c:pt idx="156">
                  <c:v>313</c:v>
                </c:pt>
                <c:pt idx="157">
                  <c:v>315</c:v>
                </c:pt>
                <c:pt idx="158">
                  <c:v>317</c:v>
                </c:pt>
                <c:pt idx="159">
                  <c:v>319</c:v>
                </c:pt>
                <c:pt idx="160">
                  <c:v>321</c:v>
                </c:pt>
                <c:pt idx="161">
                  <c:v>323</c:v>
                </c:pt>
                <c:pt idx="162">
                  <c:v>325</c:v>
                </c:pt>
                <c:pt idx="163">
                  <c:v>327</c:v>
                </c:pt>
                <c:pt idx="164">
                  <c:v>329</c:v>
                </c:pt>
                <c:pt idx="165">
                  <c:v>331</c:v>
                </c:pt>
                <c:pt idx="166">
                  <c:v>333</c:v>
                </c:pt>
                <c:pt idx="167">
                  <c:v>335</c:v>
                </c:pt>
                <c:pt idx="168">
                  <c:v>337</c:v>
                </c:pt>
                <c:pt idx="169">
                  <c:v>339</c:v>
                </c:pt>
                <c:pt idx="170">
                  <c:v>341</c:v>
                </c:pt>
                <c:pt idx="171">
                  <c:v>343</c:v>
                </c:pt>
                <c:pt idx="172">
                  <c:v>345</c:v>
                </c:pt>
                <c:pt idx="173">
                  <c:v>347</c:v>
                </c:pt>
                <c:pt idx="174">
                  <c:v>349</c:v>
                </c:pt>
                <c:pt idx="175">
                  <c:v>351</c:v>
                </c:pt>
                <c:pt idx="176">
                  <c:v>353</c:v>
                </c:pt>
                <c:pt idx="177">
                  <c:v>355</c:v>
                </c:pt>
                <c:pt idx="178">
                  <c:v>357</c:v>
                </c:pt>
                <c:pt idx="179">
                  <c:v>359</c:v>
                </c:pt>
                <c:pt idx="180">
                  <c:v>361</c:v>
                </c:pt>
                <c:pt idx="181">
                  <c:v>363</c:v>
                </c:pt>
                <c:pt idx="182">
                  <c:v>365</c:v>
                </c:pt>
              </c:numCache>
            </c:numRef>
          </c:xVal>
          <c:yVal>
            <c:numRef>
              <c:f>Intermediate!$N$7:$N$189</c:f>
              <c:numCache>
                <c:formatCode>0.00</c:formatCode>
                <c:ptCount val="183"/>
                <c:pt idx="0">
                  <c:v>45.344263545171287</c:v>
                </c:pt>
                <c:pt idx="1">
                  <c:v>46.032382623350443</c:v>
                </c:pt>
                <c:pt idx="2">
                  <c:v>46.719278148604722</c:v>
                </c:pt>
                <c:pt idx="3">
                  <c:v>47.404136030295646</c:v>
                </c:pt>
                <c:pt idx="4">
                  <c:v>48.086144592746663</c:v>
                </c:pt>
                <c:pt idx="5">
                  <c:v>48.764495537219979</c:v>
                </c:pt>
                <c:pt idx="6">
                  <c:v>49.438384899891098</c:v>
                </c:pt>
                <c:pt idx="7">
                  <c:v>50.107014004685787</c:v>
                </c:pt>
                <c:pt idx="8">
                  <c:v>50.769590409850068</c:v>
                </c:pt>
                <c:pt idx="9">
                  <c:v>51.425328847131482</c:v>
                </c:pt>
                <c:pt idx="10">
                  <c:v>52.073452152458565</c:v>
                </c:pt>
                <c:pt idx="11">
                  <c:v>52.713192187015359</c:v>
                </c:pt>
                <c:pt idx="12">
                  <c:v>53.343790747619501</c:v>
                </c:pt>
                <c:pt idx="13">
                  <c:v>53.964500465324832</c:v>
                </c:pt>
                <c:pt idx="14">
                  <c:v>54.57458569118355</c:v>
                </c:pt>
                <c:pt idx="15">
                  <c:v>55.173323368118133</c:v>
                </c:pt>
                <c:pt idx="16">
                  <c:v>55.760003887869722</c:v>
                </c:pt>
                <c:pt idx="17">
                  <c:v>56.333931932007253</c:v>
                </c:pt>
                <c:pt idx="18">
                  <c:v>56.894427296000771</c:v>
                </c:pt>
                <c:pt idx="19">
                  <c:v>57.440825695381989</c:v>
                </c:pt>
                <c:pt idx="20">
                  <c:v>57.972479553036997</c:v>
                </c:pt>
                <c:pt idx="21">
                  <c:v>58.48875876669765</c:v>
                </c:pt>
                <c:pt idx="22">
                  <c:v>58.989051455722375</c:v>
                </c:pt>
                <c:pt idx="23">
                  <c:v>59.47276468628111</c:v>
                </c:pt>
                <c:pt idx="24">
                  <c:v>59.939325174085013</c:v>
                </c:pt>
                <c:pt idx="25">
                  <c:v>60.388179963828001</c:v>
                </c:pt>
                <c:pt idx="26">
                  <c:v>60.818797084534964</c:v>
                </c:pt>
                <c:pt idx="27">
                  <c:v>61.230666180039854</c:v>
                </c:pt>
                <c:pt idx="28">
                  <c:v>61.623299113846514</c:v>
                </c:pt>
                <c:pt idx="29">
                  <c:v>61.996230547655259</c:v>
                </c:pt>
                <c:pt idx="30">
                  <c:v>62.349018492869718</c:v>
                </c:pt>
                <c:pt idx="31">
                  <c:v>62.681244834430174</c:v>
                </c:pt>
                <c:pt idx="32">
                  <c:v>62.992515826352573</c:v>
                </c:pt>
                <c:pt idx="33">
                  <c:v>63.28246255838603</c:v>
                </c:pt>
                <c:pt idx="34">
                  <c:v>63.550741393235597</c:v>
                </c:pt>
                <c:pt idx="35">
                  <c:v>63.797034373832233</c:v>
                </c:pt>
                <c:pt idx="36">
                  <c:v>64.021049600167174</c:v>
                </c:pt>
                <c:pt idx="37">
                  <c:v>64.222521575244258</c:v>
                </c:pt>
                <c:pt idx="38">
                  <c:v>64.401211519740002</c:v>
                </c:pt>
                <c:pt idx="39">
                  <c:v>64.556907654998611</c:v>
                </c:pt>
                <c:pt idx="40">
                  <c:v>64.689425454026534</c:v>
                </c:pt>
                <c:pt idx="41">
                  <c:v>64.798607860189009</c:v>
                </c:pt>
                <c:pt idx="42">
                  <c:v>64.88432547334952</c:v>
                </c:pt>
                <c:pt idx="43">
                  <c:v>64.94647670323144</c:v>
                </c:pt>
                <c:pt idx="44">
                  <c:v>64.984987889820161</c:v>
                </c:pt>
                <c:pt idx="45">
                  <c:v>64.999813390663064</c:v>
                </c:pt>
                <c:pt idx="46">
                  <c:v>64.990935634963677</c:v>
                </c:pt>
                <c:pt idx="47">
                  <c:v>64.958365144406258</c:v>
                </c:pt>
                <c:pt idx="48">
                  <c:v>64.90214052068562</c:v>
                </c:pt>
                <c:pt idx="49">
                  <c:v>64.822328399757524</c:v>
                </c:pt>
                <c:pt idx="50">
                  <c:v>64.719023372863418</c:v>
                </c:pt>
                <c:pt idx="51">
                  <c:v>64.59234787442341</c:v>
                </c:pt>
                <c:pt idx="52">
                  <c:v>64.442452036930149</c:v>
                </c:pt>
                <c:pt idx="53">
                  <c:v>64.269513513015767</c:v>
                </c:pt>
                <c:pt idx="54">
                  <c:v>64.073737264902562</c:v>
                </c:pt>
                <c:pt idx="55">
                  <c:v>63.855355321487188</c:v>
                </c:pt>
                <c:pt idx="56">
                  <c:v>63.614626503345995</c:v>
                </c:pt>
                <c:pt idx="57">
                  <c:v>63.351836115987695</c:v>
                </c:pt>
                <c:pt idx="58">
                  <c:v>63.067295611716716</c:v>
                </c:pt>
                <c:pt idx="59">
                  <c:v>62.76134222050802</c:v>
                </c:pt>
                <c:pt idx="60">
                  <c:v>62.434338550331013</c:v>
                </c:pt>
                <c:pt idx="61">
                  <c:v>62.086672157395995</c:v>
                </c:pt>
                <c:pt idx="62">
                  <c:v>61.718755086832672</c:v>
                </c:pt>
                <c:pt idx="63">
                  <c:v>61.331023384345073</c:v>
                </c:pt>
                <c:pt idx="64">
                  <c:v>60.923936579421479</c:v>
                </c:pt>
                <c:pt idx="65">
                  <c:v>60.497977140712166</c:v>
                </c:pt>
                <c:pt idx="66">
                  <c:v>60.053649904220094</c:v>
                </c:pt>
                <c:pt idx="67">
                  <c:v>59.591481474982501</c:v>
                </c:pt>
                <c:pt idx="68">
                  <c:v>59.112019602952351</c:v>
                </c:pt>
                <c:pt idx="69">
                  <c:v>58.615832533819393</c:v>
                </c:pt>
                <c:pt idx="70">
                  <c:v>58.103508335540205</c:v>
                </c:pt>
                <c:pt idx="71">
                  <c:v>57.575654201375407</c:v>
                </c:pt>
                <c:pt idx="72">
                  <c:v>57.032895730260094</c:v>
                </c:pt>
                <c:pt idx="73">
                  <c:v>56.475876185360264</c:v>
                </c:pt>
                <c:pt idx="74">
                  <c:v>55.905255731694162</c:v>
                </c:pt>
                <c:pt idx="75">
                  <c:v>55.321710653721915</c:v>
                </c:pt>
                <c:pt idx="76">
                  <c:v>54.725932553830845</c:v>
                </c:pt>
                <c:pt idx="77">
                  <c:v>54.118627532666409</c:v>
                </c:pt>
                <c:pt idx="78">
                  <c:v>53.500515352280125</c:v>
                </c:pt>
                <c:pt idx="79">
                  <c:v>52.872328583086393</c:v>
                </c:pt>
                <c:pt idx="80">
                  <c:v>52.234811735639184</c:v>
                </c:pt>
                <c:pt idx="81">
                  <c:v>51.588720378257548</c:v>
                </c:pt>
                <c:pt idx="82">
                  <c:v>50.9348202415458</c:v>
                </c:pt>
                <c:pt idx="83">
                  <c:v>50.273886310869592</c:v>
                </c:pt>
                <c:pt idx="84">
                  <c:v>49.606701907863496</c:v>
                </c:pt>
                <c:pt idx="85">
                  <c:v>48.93405776205865</c:v>
                </c:pt>
                <c:pt idx="86">
                  <c:v>48.256751073730804</c:v>
                </c:pt>
                <c:pt idx="87">
                  <c:v>47.575584569079318</c:v>
                </c:pt>
                <c:pt idx="88">
                  <c:v>46.891365548857088</c:v>
                </c:pt>
                <c:pt idx="89">
                  <c:v>46.204904931578717</c:v>
                </c:pt>
                <c:pt idx="90">
                  <c:v>45.51701629244112</c:v>
                </c:pt>
                <c:pt idx="91">
                  <c:v>44.828514899095424</c:v>
                </c:pt>
                <c:pt idx="92">
                  <c:v>44.140216745413049</c:v>
                </c:pt>
                <c:pt idx="93">
                  <c:v>43.452937584391059</c:v>
                </c:pt>
                <c:pt idx="94">
                  <c:v>42.76749196134304</c:v>
                </c:pt>
                <c:pt idx="95">
                  <c:v>42.08469224852125</c:v>
                </c:pt>
                <c:pt idx="96">
                  <c:v>41.405347682314243</c:v>
                </c:pt>
                <c:pt idx="97">
                  <c:v>40.730263404161022</c:v>
                </c:pt>
                <c:pt idx="98">
                  <c:v>40.060239506318467</c:v>
                </c:pt>
                <c:pt idx="99">
                  <c:v>39.396070083612855</c:v>
                </c:pt>
                <c:pt idx="100">
                  <c:v>38.738542292299414</c:v>
                </c:pt>
                <c:pt idx="101">
                  <c:v>38.088435417145291</c:v>
                </c:pt>
                <c:pt idx="102">
                  <c:v>37.446519947841601</c:v>
                </c:pt>
                <c:pt idx="103">
                  <c:v>36.813556665839158</c:v>
                </c:pt>
                <c:pt idx="104">
                  <c:v>36.190295742690182</c:v>
                </c:pt>
                <c:pt idx="105">
                  <c:v>35.577475850964525</c:v>
                </c:pt>
                <c:pt idx="106">
                  <c:v>34.975823288794274</c:v>
                </c:pt>
                <c:pt idx="107">
                  <c:v>34.386051119084172</c:v>
                </c:pt>
                <c:pt idx="108">
                  <c:v>33.80885832440805</c:v>
                </c:pt>
                <c:pt idx="109">
                  <c:v>33.244928978592974</c:v>
                </c:pt>
                <c:pt idx="110">
                  <c:v>32.694931435972769</c:v>
                </c:pt>
                <c:pt idx="111">
                  <c:v>32.15951753927196</c:v>
                </c:pt>
                <c:pt idx="112">
                  <c:v>31.639321847058763</c:v>
                </c:pt>
                <c:pt idx="113">
                  <c:v>31.134960881682847</c:v>
                </c:pt>
                <c:pt idx="114">
                  <c:v>30.647032398589161</c:v>
                </c:pt>
                <c:pt idx="115">
                  <c:v>30.176114677873791</c:v>
                </c:pt>
                <c:pt idx="116">
                  <c:v>29.722765838921461</c:v>
                </c:pt>
                <c:pt idx="117">
                  <c:v>29.287523178937047</c:v>
                </c:pt>
                <c:pt idx="118">
                  <c:v>28.870902536154958</c:v>
                </c:pt>
                <c:pt idx="119">
                  <c:v>28.473397678481099</c:v>
                </c:pt>
                <c:pt idx="120">
                  <c:v>28.095479718292093</c:v>
                </c:pt>
                <c:pt idx="121">
                  <c:v>27.737596554085144</c:v>
                </c:pt>
                <c:pt idx="122">
                  <c:v>27.400172339640491</c:v>
                </c:pt>
                <c:pt idx="123">
                  <c:v>27.083606981325349</c:v>
                </c:pt>
                <c:pt idx="124">
                  <c:v>26.788275664135423</c:v>
                </c:pt>
                <c:pt idx="125">
                  <c:v>26.51452840703535</c:v>
                </c:pt>
                <c:pt idx="126">
                  <c:v>26.262689648125434</c:v>
                </c:pt>
                <c:pt idx="127">
                  <c:v>26.033057860126057</c:v>
                </c:pt>
                <c:pt idx="128">
                  <c:v>25.825905196635588</c:v>
                </c:pt>
                <c:pt idx="129">
                  <c:v>25.641477169581087</c:v>
                </c:pt>
                <c:pt idx="130">
                  <c:v>25.479992358243933</c:v>
                </c:pt>
                <c:pt idx="131">
                  <c:v>25.341642150205409</c:v>
                </c:pt>
                <c:pt idx="132">
                  <c:v>25.22659051451911</c:v>
                </c:pt>
                <c:pt idx="133">
                  <c:v>25.134973807379119</c:v>
                </c:pt>
                <c:pt idx="134">
                  <c:v>25.066900610514196</c:v>
                </c:pt>
                <c:pt idx="135">
                  <c:v>25.022451602499554</c:v>
                </c:pt>
                <c:pt idx="136">
                  <c:v>25.001679463138732</c:v>
                </c:pt>
                <c:pt idx="137">
                  <c:v>25.004608811028838</c:v>
                </c:pt>
                <c:pt idx="138">
                  <c:v>25.031236174383245</c:v>
                </c:pt>
                <c:pt idx="139">
                  <c:v>25.08152999514628</c:v>
                </c:pt>
                <c:pt idx="140">
                  <c:v>25.15543066639497</c:v>
                </c:pt>
                <c:pt idx="141">
                  <c:v>25.252850602983653</c:v>
                </c:pt>
                <c:pt idx="142">
                  <c:v>25.373674345347567</c:v>
                </c:pt>
                <c:pt idx="143">
                  <c:v>25.517758696342533</c:v>
                </c:pt>
                <c:pt idx="144">
                  <c:v>25.684932890958468</c:v>
                </c:pt>
                <c:pt idx="145">
                  <c:v>25.874998798705604</c:v>
                </c:pt>
                <c:pt idx="146">
                  <c:v>26.087731158433598</c:v>
                </c:pt>
                <c:pt idx="147">
                  <c:v>26.322877845305126</c:v>
                </c:pt>
                <c:pt idx="148">
                  <c:v>26.58016016960768</c:v>
                </c:pt>
                <c:pt idx="149">
                  <c:v>26.859273207049348</c:v>
                </c:pt>
                <c:pt idx="150">
                  <c:v>27.159886160147085</c:v>
                </c:pt>
                <c:pt idx="151">
                  <c:v>27.481642750279303</c:v>
                </c:pt>
                <c:pt idx="152">
                  <c:v>27.824161639937916</c:v>
                </c:pt>
                <c:pt idx="153">
                  <c:v>28.187036884679689</c:v>
                </c:pt>
                <c:pt idx="154">
                  <c:v>28.569838414240898</c:v>
                </c:pt>
                <c:pt idx="155">
                  <c:v>28.972112542245458</c:v>
                </c:pt>
                <c:pt idx="156">
                  <c:v>29.393382503902092</c:v>
                </c:pt>
                <c:pt idx="157">
                  <c:v>29.833149021053575</c:v>
                </c:pt>
                <c:pt idx="158">
                  <c:v>30.290890893908148</c:v>
                </c:pt>
                <c:pt idx="159">
                  <c:v>30.766065618751846</c:v>
                </c:pt>
                <c:pt idx="160">
                  <c:v>31.258110030909844</c:v>
                </c:pt>
                <c:pt idx="161">
                  <c:v>31.766440972194395</c:v>
                </c:pt>
                <c:pt idx="162">
                  <c:v>32.290455982048812</c:v>
                </c:pt>
                <c:pt idx="163">
                  <c:v>32.829534011567851</c:v>
                </c:pt>
                <c:pt idx="164">
                  <c:v>33.383036159548794</c:v>
                </c:pt>
                <c:pt idx="165">
                  <c:v>33.950306429700376</c:v>
                </c:pt>
                <c:pt idx="166">
                  <c:v>34.53067250811246</c:v>
                </c:pt>
                <c:pt idx="167">
                  <c:v>35.123446560065005</c:v>
                </c:pt>
                <c:pt idx="168">
                  <c:v>35.727926045231705</c:v>
                </c:pt>
                <c:pt idx="169">
                  <c:v>36.343394550312546</c:v>
                </c:pt>
                <c:pt idx="170">
                  <c:v>36.969122638108018</c:v>
                </c:pt>
                <c:pt idx="171">
                  <c:v>37.604368712029185</c:v>
                </c:pt>
                <c:pt idx="172">
                  <c:v>38.248379895018431</c:v>
                </c:pt>
                <c:pt idx="173">
                  <c:v>38.900392921839831</c:v>
                </c:pt>
                <c:pt idx="174">
                  <c:v>39.559635043681119</c:v>
                </c:pt>
                <c:pt idx="175">
                  <c:v>40.225324943995325</c:v>
                </c:pt>
                <c:pt idx="176">
                  <c:v>40.896673664496909</c:v>
                </c:pt>
                <c:pt idx="177">
                  <c:v>41.572885540214337</c:v>
                </c:pt>
                <c:pt idx="178">
                  <c:v>42.253159142491583</c:v>
                </c:pt>
                <c:pt idx="179">
                  <c:v>42.936688228820316</c:v>
                </c:pt>
                <c:pt idx="180">
                  <c:v>43.622662698377567</c:v>
                </c:pt>
                <c:pt idx="181">
                  <c:v>44.31026955213602</c:v>
                </c:pt>
                <c:pt idx="182">
                  <c:v>44.998693856409183</c:v>
                </c:pt>
              </c:numCache>
            </c:numRef>
          </c:yVal>
          <c:smooth val="1"/>
          <c:extLst>
            <c:ext xmlns:c16="http://schemas.microsoft.com/office/drawing/2014/chart" uri="{C3380CC4-5D6E-409C-BE32-E72D297353CC}">
              <c16:uniqueId val="{00000004-1F53-434B-93F4-987C5D08AA6C}"/>
            </c:ext>
          </c:extLst>
        </c:ser>
        <c:dLbls>
          <c:showLegendKey val="0"/>
          <c:showVal val="0"/>
          <c:showCatName val="0"/>
          <c:showSerName val="0"/>
          <c:showPercent val="0"/>
          <c:showBubbleSize val="0"/>
        </c:dLbls>
        <c:axId val="857647935"/>
        <c:axId val="1"/>
      </c:scatterChart>
      <c:valAx>
        <c:axId val="857647935"/>
        <c:scaling>
          <c:orientation val="minMax"/>
          <c:max val="370"/>
          <c:min val="0"/>
        </c:scaling>
        <c:delete val="0"/>
        <c:axPos val="b"/>
        <c:title>
          <c:tx>
            <c:rich>
              <a:bodyPr/>
              <a:lstStyle/>
              <a:p>
                <a:pPr>
                  <a:defRPr sz="1400" b="0" i="0" u="none" strike="noStrike" baseline="0">
                    <a:solidFill>
                      <a:srgbClr val="333333"/>
                    </a:solidFill>
                    <a:latin typeface="Calibri"/>
                    <a:ea typeface="Calibri"/>
                    <a:cs typeface="Calibri"/>
                  </a:defRPr>
                </a:pPr>
                <a:r>
                  <a:rPr lang="en-CA"/>
                  <a:t>Time (days)</a:t>
                </a:r>
              </a:p>
            </c:rich>
          </c:tx>
          <c:overlay val="0"/>
          <c:spPr>
            <a:noFill/>
            <a:ln w="25400">
              <a:noFill/>
            </a:ln>
          </c:sp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majorUnit val="50"/>
      </c:val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0" i="0" u="none" strike="noStrike" baseline="0">
                    <a:solidFill>
                      <a:srgbClr val="333333"/>
                    </a:solidFill>
                    <a:latin typeface="Calibri"/>
                    <a:ea typeface="Calibri"/>
                    <a:cs typeface="Calibri"/>
                  </a:defRPr>
                </a:pPr>
                <a:r>
                  <a:rPr lang="en-CA"/>
                  <a:t>RH (%)</a:t>
                </a:r>
              </a:p>
            </c:rich>
          </c:tx>
          <c:overlay val="0"/>
          <c:spPr>
            <a:noFill/>
            <a:ln w="25400">
              <a:noFill/>
            </a:ln>
          </c:spPr>
        </c:title>
        <c:numFmt formatCode="#,##0" sourceLinked="0"/>
        <c:majorTickMark val="none"/>
        <c:minorTickMark val="none"/>
        <c:tickLblPos val="nextTo"/>
        <c:spPr>
          <a:noFill/>
          <a:effectLst/>
        </c:spPr>
        <c:txPr>
          <a:bodyPr rot="0" vert="horz"/>
          <a:lstStyle/>
          <a:p>
            <a:pPr>
              <a:defRPr sz="900" b="0" i="0" u="none" strike="noStrike" baseline="0">
                <a:solidFill>
                  <a:srgbClr val="333333"/>
                </a:solidFill>
                <a:latin typeface="Calibri"/>
                <a:ea typeface="Calibri"/>
                <a:cs typeface="Calibri"/>
              </a:defRPr>
            </a:pPr>
            <a:endParaRPr lang="en-US"/>
          </a:p>
        </c:txPr>
        <c:crossAx val="857647935"/>
        <c:crosses val="autoZero"/>
        <c:crossBetween val="midCat"/>
        <c:majorUnit val="5"/>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CA"/>
              <a:t>Your data</a:t>
            </a:r>
          </a:p>
        </c:rich>
      </c:tx>
      <c:overlay val="0"/>
      <c:spPr>
        <a:noFill/>
        <a:ln w="25400">
          <a:noFill/>
        </a:ln>
      </c:spPr>
    </c:title>
    <c:autoTitleDeleted val="0"/>
    <c:plotArea>
      <c:layout/>
      <c:scatterChart>
        <c:scatterStyle val="smoothMarker"/>
        <c:varyColors val="0"/>
        <c:ser>
          <c:idx val="0"/>
          <c:order val="0"/>
          <c:tx>
            <c:v>iniital RH</c:v>
          </c:tx>
          <c:spPr>
            <a:ln w="28575" cap="rnd">
              <a:solidFill>
                <a:schemeClr val="accent1"/>
              </a:solidFill>
              <a:prstDash val="dash"/>
              <a:round/>
            </a:ln>
            <a:effectLst/>
          </c:spPr>
          <c:marker>
            <c:symbol val="none"/>
          </c:marker>
          <c:xVal>
            <c:numRef>
              <c:f>Intermediate!$R$3:$R$4</c:f>
              <c:numCache>
                <c:formatCode>General</c:formatCode>
                <c:ptCount val="2"/>
                <c:pt idx="0">
                  <c:v>0</c:v>
                </c:pt>
                <c:pt idx="1">
                  <c:v>120</c:v>
                </c:pt>
              </c:numCache>
            </c:numRef>
          </c:xVal>
          <c:yVal>
            <c:numRef>
              <c:f>Intermediate!$Z$3:$Z$4</c:f>
              <c:numCache>
                <c:formatCode>General</c:formatCode>
                <c:ptCount val="2"/>
                <c:pt idx="0">
                  <c:v>20</c:v>
                </c:pt>
                <c:pt idx="1">
                  <c:v>20</c:v>
                </c:pt>
              </c:numCache>
            </c:numRef>
          </c:yVal>
          <c:smooth val="1"/>
          <c:extLst>
            <c:ext xmlns:c16="http://schemas.microsoft.com/office/drawing/2014/chart" uri="{C3380CC4-5D6E-409C-BE32-E72D297353CC}">
              <c16:uniqueId val="{00000000-33B7-42EB-9323-18C95DBF1E70}"/>
            </c:ext>
          </c:extLst>
        </c:ser>
        <c:ser>
          <c:idx val="1"/>
          <c:order val="1"/>
          <c:tx>
            <c:v>Maximal RH</c:v>
          </c:tx>
          <c:spPr>
            <a:ln w="28575" cap="rnd">
              <a:solidFill>
                <a:schemeClr val="accent1"/>
              </a:solidFill>
              <a:prstDash val="dash"/>
              <a:round/>
            </a:ln>
            <a:effectLst/>
          </c:spPr>
          <c:marker>
            <c:symbol val="none"/>
          </c:marker>
          <c:xVal>
            <c:numRef>
              <c:f>Intermediate!$R$3:$R$4</c:f>
              <c:numCache>
                <c:formatCode>General</c:formatCode>
                <c:ptCount val="2"/>
                <c:pt idx="0">
                  <c:v>0</c:v>
                </c:pt>
                <c:pt idx="1">
                  <c:v>120</c:v>
                </c:pt>
              </c:numCache>
            </c:numRef>
          </c:xVal>
          <c:yVal>
            <c:numRef>
              <c:f>Intermediate!$AA$3:$AA$4</c:f>
              <c:numCache>
                <c:formatCode>0</c:formatCode>
                <c:ptCount val="2"/>
                <c:pt idx="0">
                  <c:v>30</c:v>
                </c:pt>
                <c:pt idx="1">
                  <c:v>30</c:v>
                </c:pt>
              </c:numCache>
            </c:numRef>
          </c:yVal>
          <c:smooth val="1"/>
          <c:extLst>
            <c:ext xmlns:c16="http://schemas.microsoft.com/office/drawing/2014/chart" uri="{C3380CC4-5D6E-409C-BE32-E72D297353CC}">
              <c16:uniqueId val="{00000001-33B7-42EB-9323-18C95DBF1E70}"/>
            </c:ext>
          </c:extLst>
        </c:ser>
        <c:ser>
          <c:idx val="2"/>
          <c:order val="2"/>
          <c:tx>
            <c:v>avg ext RH</c:v>
          </c:tx>
          <c:spPr>
            <a:ln w="28575" cap="rnd">
              <a:solidFill>
                <a:schemeClr val="tx2">
                  <a:lumMod val="60000"/>
                  <a:lumOff val="40000"/>
                </a:schemeClr>
              </a:solidFill>
              <a:prstDash val="dash"/>
              <a:round/>
            </a:ln>
            <a:effectLst/>
          </c:spPr>
          <c:marker>
            <c:symbol val="none"/>
          </c:marker>
          <c:xVal>
            <c:numRef>
              <c:f>Intermediate!$R$3:$R$4</c:f>
              <c:numCache>
                <c:formatCode>General</c:formatCode>
                <c:ptCount val="2"/>
                <c:pt idx="0">
                  <c:v>0</c:v>
                </c:pt>
                <c:pt idx="1">
                  <c:v>120</c:v>
                </c:pt>
              </c:numCache>
            </c:numRef>
          </c:xVal>
          <c:yVal>
            <c:numRef>
              <c:f>Intermediate!$S$3:$S$4</c:f>
              <c:numCache>
                <c:formatCode>General</c:formatCode>
                <c:ptCount val="2"/>
                <c:pt idx="0">
                  <c:v>50</c:v>
                </c:pt>
                <c:pt idx="1">
                  <c:v>50</c:v>
                </c:pt>
              </c:numCache>
            </c:numRef>
          </c:yVal>
          <c:smooth val="1"/>
          <c:extLst>
            <c:ext xmlns:c16="http://schemas.microsoft.com/office/drawing/2014/chart" uri="{C3380CC4-5D6E-409C-BE32-E72D297353CC}">
              <c16:uniqueId val="{00000002-33B7-42EB-9323-18C95DBF1E70}"/>
            </c:ext>
          </c:extLst>
        </c:ser>
        <c:ser>
          <c:idx val="3"/>
          <c:order val="3"/>
          <c:tx>
            <c:v>intenal RH fluc</c:v>
          </c:tx>
          <c:spPr>
            <a:ln w="25400">
              <a:solidFill>
                <a:srgbClr val="FF0000"/>
              </a:solidFill>
              <a:prstDash val="solid"/>
            </a:ln>
          </c:spPr>
          <c:marker>
            <c:symbol val="none"/>
          </c:marker>
          <c:dPt>
            <c:idx val="1"/>
            <c:bubble3D val="0"/>
            <c:extLst>
              <c:ext xmlns:c16="http://schemas.microsoft.com/office/drawing/2014/chart" uri="{C3380CC4-5D6E-409C-BE32-E72D297353CC}">
                <c16:uniqueId val="{00000004-33B7-42EB-9323-18C95DBF1E70}"/>
              </c:ext>
            </c:extLst>
          </c:dPt>
          <c:xVal>
            <c:numRef>
              <c:f>Intermediate!$AC$7:$AC$67</c:f>
              <c:numCache>
                <c:formatCode>0.0</c:formatCode>
                <c:ptCount val="6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62.000000000000007</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numCache>
            </c:numRef>
          </c:xVal>
          <c:yVal>
            <c:numRef>
              <c:f>Intermediate!$AE$7:$AE$67</c:f>
              <c:numCache>
                <c:formatCode>0.00</c:formatCode>
                <c:ptCount val="61"/>
                <c:pt idx="0">
                  <c:v>20</c:v>
                </c:pt>
                <c:pt idx="1">
                  <c:v>16.853704486922084</c:v>
                </c:pt>
                <c:pt idx="2">
                  <c:v>21.064750861263349</c:v>
                </c:pt>
                <c:pt idx="3">
                  <c:v>23.651483849737055</c:v>
                </c:pt>
                <c:pt idx="4">
                  <c:v>19.239481906385162</c:v>
                </c:pt>
                <c:pt idx="5">
                  <c:v>17.99693546786941</c:v>
                </c:pt>
                <c:pt idx="6">
                  <c:v>23.053389045880547</c:v>
                </c:pt>
                <c:pt idx="7">
                  <c:v>23.549728617522501</c:v>
                </c:pt>
                <c:pt idx="8">
                  <c:v>18.75382500614743</c:v>
                </c:pt>
                <c:pt idx="9">
                  <c:v>19.686427678540017</c:v>
                </c:pt>
                <c:pt idx="10">
                  <c:v>24.646565493990074</c:v>
                </c:pt>
                <c:pt idx="11">
                  <c:v>22.989020017858437</c:v>
                </c:pt>
                <c:pt idx="12">
                  <c:v>18.764955036984169</c:v>
                </c:pt>
                <c:pt idx="13">
                  <c:v>21.725195376466989</c:v>
                </c:pt>
                <c:pt idx="14">
                  <c:v>25.665843894267585</c:v>
                </c:pt>
                <c:pt idx="15">
                  <c:v>22.205737978427578</c:v>
                </c:pt>
                <c:pt idx="16">
                  <c:v>19.399121652788185</c:v>
                </c:pt>
                <c:pt idx="17">
                  <c:v>23.84898593130989</c:v>
                </c:pt>
                <c:pt idx="18">
                  <c:v>26.043314831901281</c:v>
                </c:pt>
                <c:pt idx="19">
                  <c:v>21.479127795833957</c:v>
                </c:pt>
                <c:pt idx="20">
                  <c:v>20.662584031077014</c:v>
                </c:pt>
                <c:pt idx="21">
                  <c:v>25.777172179754977</c:v>
                </c:pt>
                <c:pt idx="22">
                  <c:v>25.834674447582771</c:v>
                </c:pt>
                <c:pt idx="23">
                  <c:v>21.077520346464478</c:v>
                </c:pt>
                <c:pt idx="24">
                  <c:v>22.440405419396512</c:v>
                </c:pt>
                <c:pt idx="25">
                  <c:v>27.26679834805379</c:v>
                </c:pt>
                <c:pt idx="26">
                  <c:v>25.208497930243947</c:v>
                </c:pt>
                <c:pt idx="27">
                  <c:v>21.206654303095927</c:v>
                </c:pt>
                <c:pt idx="28">
                  <c:v>24.518588778736905</c:v>
                </c:pt>
                <c:pt idx="29">
                  <c:v>28.159370850081551</c:v>
                </c:pt>
                <c:pt idx="30">
                  <c:v>24.413773659171547</c:v>
                </c:pt>
                <c:pt idx="31">
                  <c:v>21.970052969977825</c:v>
                </c:pt>
                <c:pt idx="32">
                  <c:v>26.625290425352951</c:v>
                </c:pt>
                <c:pt idx="33">
                  <c:v>28.411382531595699</c:v>
                </c:pt>
                <c:pt idx="34">
                  <c:v>23.731950587799052</c:v>
                </c:pt>
                <c:pt idx="35">
                  <c:v>23.349086752852202</c:v>
                </c:pt>
                <c:pt idx="36">
                  <c:v>28.483174344939396</c:v>
                </c:pt>
                <c:pt idx="37">
                  <c:v>28.102691703328411</c:v>
                </c:pt>
                <c:pt idx="38">
                  <c:v>23.422734052792975</c:v>
                </c:pt>
                <c:pt idx="39">
                  <c:v>25.206561028335784</c:v>
                </c:pt>
                <c:pt idx="40">
                  <c:v>29.86282427351907</c:v>
                </c:pt>
                <c:pt idx="41">
                  <c:v>27.421142246806262</c:v>
                </c:pt>
                <c:pt idx="42">
                  <c:v>23.67406918142299</c:v>
                </c:pt>
                <c:pt idx="43">
                  <c:v>27.313138425717863</c:v>
                </c:pt>
                <c:pt idx="44">
                  <c:v>30.626926924346506</c:v>
                </c:pt>
                <c:pt idx="45">
                  <c:v>26.626386803273011</c:v>
                </c:pt>
                <c:pt idx="46">
                  <c:v>24.565944581589715</c:v>
                </c:pt>
                <c:pt idx="47">
                  <c:v>29.391506859825338</c:v>
                </c:pt>
                <c:pt idx="48">
                  <c:v>30.756717123052105</c:v>
                </c:pt>
                <c:pt idx="49">
                  <c:v>25.999880329659398</c:v>
                </c:pt>
                <c:pt idx="50">
                  <c:v>26.054987353741904</c:v>
                </c:pt>
                <c:pt idx="51">
                  <c:v>31.169787003405013</c:v>
                </c:pt>
                <c:pt idx="52">
                  <c:v>30.355591788371715</c:v>
                </c:pt>
                <c:pt idx="53">
                  <c:v>25.790674751457221</c:v>
                </c:pt>
                <c:pt idx="54">
                  <c:v>27.982816267888008</c:v>
                </c:pt>
                <c:pt idx="55">
                  <c:v>32.433893465874291</c:v>
                </c:pt>
                <c:pt idx="56">
                  <c:v>29.629196742722119</c:v>
                </c:pt>
                <c:pt idx="57">
                  <c:v>26.167454108161866</c:v>
                </c:pt>
                <c:pt idx="58">
                  <c:v>30.106544369212184</c:v>
                </c:pt>
                <c:pt idx="59">
                  <c:v>33.068765450750959</c:v>
                </c:pt>
                <c:pt idx="60">
                  <c:v>28.845821429314352</c:v>
                </c:pt>
              </c:numCache>
            </c:numRef>
          </c:yVal>
          <c:smooth val="1"/>
          <c:extLst>
            <c:ext xmlns:c16="http://schemas.microsoft.com/office/drawing/2014/chart" uri="{C3380CC4-5D6E-409C-BE32-E72D297353CC}">
              <c16:uniqueId val="{00000005-33B7-42EB-9323-18C95DBF1E70}"/>
            </c:ext>
          </c:extLst>
        </c:ser>
        <c:ser>
          <c:idx val="4"/>
          <c:order val="4"/>
          <c:tx>
            <c:v>ext fluctuations</c:v>
          </c:tx>
          <c:spPr>
            <a:ln>
              <a:solidFill>
                <a:srgbClr val="002060"/>
              </a:solidFill>
            </a:ln>
          </c:spPr>
          <c:marker>
            <c:symbol val="none"/>
          </c:marker>
          <c:xVal>
            <c:numRef>
              <c:f>Intermediate!$W$7:$W$67</c:f>
              <c:numCache>
                <c:formatCode>0.0</c:formatCode>
                <c:ptCount val="6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62.000000000000007</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numCache>
            </c:numRef>
          </c:xVal>
          <c:yVal>
            <c:numRef>
              <c:f>Intermediate!$U$7:$U$67</c:f>
              <c:numCache>
                <c:formatCode>0.00</c:formatCode>
                <c:ptCount val="61"/>
                <c:pt idx="0">
                  <c:v>50</c:v>
                </c:pt>
                <c:pt idx="1">
                  <c:v>40.061113460766251</c:v>
                </c:pt>
                <c:pt idx="2">
                  <c:v>52.194252583790046</c:v>
                </c:pt>
                <c:pt idx="3">
                  <c:v>59.454451549211171</c:v>
                </c:pt>
                <c:pt idx="4">
                  <c:v>45.718445719155483</c:v>
                </c:pt>
                <c:pt idx="5">
                  <c:v>41.490806403608232</c:v>
                </c:pt>
                <c:pt idx="6">
                  <c:v>56.160167137641636</c:v>
                </c:pt>
                <c:pt idx="7">
                  <c:v>57.149185852567499</c:v>
                </c:pt>
                <c:pt idx="8">
                  <c:v>42.26147501844229</c:v>
                </c:pt>
                <c:pt idx="9">
                  <c:v>44.559283035620048</c:v>
                </c:pt>
                <c:pt idx="10">
                  <c:v>58.939696481970216</c:v>
                </c:pt>
                <c:pt idx="11">
                  <c:v>53.46706005357531</c:v>
                </c:pt>
                <c:pt idx="12">
                  <c:v>40.294865110952507</c:v>
                </c:pt>
                <c:pt idx="13">
                  <c:v>48.675586129400962</c:v>
                </c:pt>
                <c:pt idx="14">
                  <c:v>59.997531682802759</c:v>
                </c:pt>
                <c:pt idx="15">
                  <c:v>49.117213935282741</c:v>
                </c:pt>
                <c:pt idx="16">
                  <c:v>40.19736495836456</c:v>
                </c:pt>
                <c:pt idx="17">
                  <c:v>53.046957793929671</c:v>
                </c:pt>
                <c:pt idx="18">
                  <c:v>59.129944495703839</c:v>
                </c:pt>
                <c:pt idx="19">
                  <c:v>44.937383387501868</c:v>
                </c:pt>
                <c:pt idx="20">
                  <c:v>41.987752093231045</c:v>
                </c:pt>
                <c:pt idx="21">
                  <c:v>56.831516539264932</c:v>
                </c:pt>
                <c:pt idx="22">
                  <c:v>56.504023342748305</c:v>
                </c:pt>
                <c:pt idx="23">
                  <c:v>41.732561039393438</c:v>
                </c:pt>
                <c:pt idx="24">
                  <c:v>45.321216258189537</c:v>
                </c:pt>
                <c:pt idx="25">
                  <c:v>59.30039504416137</c:v>
                </c:pt>
                <c:pt idx="26">
                  <c:v>52.625493790731845</c:v>
                </c:pt>
                <c:pt idx="27">
                  <c:v>40.119962909287786</c:v>
                </c:pt>
                <c:pt idx="28">
                  <c:v>49.555766336210723</c:v>
                </c:pt>
                <c:pt idx="29">
                  <c:v>59.978112550244653</c:v>
                </c:pt>
                <c:pt idx="30">
                  <c:v>48.241320977514647</c:v>
                </c:pt>
                <c:pt idx="31">
                  <c:v>40.410158909933472</c:v>
                </c:pt>
                <c:pt idx="32">
                  <c:v>53.875871276058852</c:v>
                </c:pt>
                <c:pt idx="33">
                  <c:v>58.734147594787096</c:v>
                </c:pt>
                <c:pt idx="34">
                  <c:v>44.195851763397158</c:v>
                </c:pt>
                <c:pt idx="35">
                  <c:v>42.547260258556612</c:v>
                </c:pt>
                <c:pt idx="36">
                  <c:v>57.449523034818185</c:v>
                </c:pt>
                <c:pt idx="37">
                  <c:v>55.808075109985232</c:v>
                </c:pt>
                <c:pt idx="38">
                  <c:v>41.268202158378926</c:v>
                </c:pt>
                <c:pt idx="39">
                  <c:v>46.119683085007352</c:v>
                </c:pt>
                <c:pt idx="40">
                  <c:v>59.588472820557215</c:v>
                </c:pt>
                <c:pt idx="41">
                  <c:v>51.763426740418787</c:v>
                </c:pt>
                <c:pt idx="42">
                  <c:v>40.022207544268973</c:v>
                </c:pt>
                <c:pt idx="43">
                  <c:v>50.439415277153593</c:v>
                </c:pt>
                <c:pt idx="44">
                  <c:v>59.880780773039518</c:v>
                </c:pt>
                <c:pt idx="45">
                  <c:v>47.379160409819036</c:v>
                </c:pt>
                <c:pt idx="46">
                  <c:v>40.697833744769156</c:v>
                </c:pt>
                <c:pt idx="47">
                  <c:v>54.674520579476024</c:v>
                </c:pt>
                <c:pt idx="48">
                  <c:v>58.270151369156309</c:v>
                </c:pt>
                <c:pt idx="49">
                  <c:v>43.4996409889782</c:v>
                </c:pt>
                <c:pt idx="50">
                  <c:v>43.164962061225715</c:v>
                </c:pt>
                <c:pt idx="51">
                  <c:v>58.009361010215038</c:v>
                </c:pt>
                <c:pt idx="52">
                  <c:v>55.066775365115149</c:v>
                </c:pt>
                <c:pt idx="53">
                  <c:v>40.872024254371667</c:v>
                </c:pt>
                <c:pt idx="54">
                  <c:v>46.948448803664022</c:v>
                </c:pt>
                <c:pt idx="55">
                  <c:v>59.801680397622881</c:v>
                </c:pt>
                <c:pt idx="56">
                  <c:v>50.88759022816636</c:v>
                </c:pt>
                <c:pt idx="57">
                  <c:v>40.002362324485603</c:v>
                </c:pt>
                <c:pt idx="58">
                  <c:v>51.319633107636555</c:v>
                </c:pt>
                <c:pt idx="59">
                  <c:v>59.706296352252885</c:v>
                </c:pt>
                <c:pt idx="60">
                  <c:v>46.537464287943052</c:v>
                </c:pt>
              </c:numCache>
            </c:numRef>
          </c:yVal>
          <c:smooth val="1"/>
          <c:extLst>
            <c:ext xmlns:c16="http://schemas.microsoft.com/office/drawing/2014/chart" uri="{C3380CC4-5D6E-409C-BE32-E72D297353CC}">
              <c16:uniqueId val="{00000006-33B7-42EB-9323-18C95DBF1E70}"/>
            </c:ext>
          </c:extLst>
        </c:ser>
        <c:ser>
          <c:idx val="5"/>
          <c:order val="5"/>
          <c:tx>
            <c:v>int RH line</c:v>
          </c:tx>
          <c:spPr>
            <a:ln>
              <a:solidFill>
                <a:srgbClr val="FF0000"/>
              </a:solidFill>
            </a:ln>
          </c:spPr>
          <c:marker>
            <c:symbol val="none"/>
          </c:marker>
          <c:xVal>
            <c:numRef>
              <c:f>Intermediate!$R$3:$R$4</c:f>
              <c:numCache>
                <c:formatCode>General</c:formatCode>
                <c:ptCount val="2"/>
                <c:pt idx="0">
                  <c:v>0</c:v>
                </c:pt>
                <c:pt idx="1">
                  <c:v>120</c:v>
                </c:pt>
              </c:numCache>
            </c:numRef>
          </c:xVal>
          <c:yVal>
            <c:numRef>
              <c:f>Intermediate!$Y$3:$Y$4</c:f>
              <c:numCache>
                <c:formatCode>General</c:formatCode>
                <c:ptCount val="2"/>
                <c:pt idx="0">
                  <c:v>20</c:v>
                </c:pt>
                <c:pt idx="1">
                  <c:v>30</c:v>
                </c:pt>
              </c:numCache>
            </c:numRef>
          </c:yVal>
          <c:smooth val="1"/>
          <c:extLst>
            <c:ext xmlns:c16="http://schemas.microsoft.com/office/drawing/2014/chart" uri="{C3380CC4-5D6E-409C-BE32-E72D297353CC}">
              <c16:uniqueId val="{00000007-33B7-42EB-9323-18C95DBF1E70}"/>
            </c:ext>
          </c:extLst>
        </c:ser>
        <c:dLbls>
          <c:showLegendKey val="0"/>
          <c:showVal val="0"/>
          <c:showCatName val="0"/>
          <c:showSerName val="0"/>
          <c:showPercent val="0"/>
          <c:showBubbleSize val="0"/>
        </c:dLbls>
        <c:axId val="857647455"/>
        <c:axId val="1"/>
      </c:scatterChart>
      <c:valAx>
        <c:axId val="857647455"/>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sz="1400" b="0" i="0" u="none" strike="noStrike" baseline="0">
                    <a:solidFill>
                      <a:srgbClr val="333333"/>
                    </a:solidFill>
                    <a:latin typeface="Calibri"/>
                    <a:ea typeface="Calibri"/>
                    <a:cs typeface="Calibri"/>
                  </a:defRPr>
                </a:pPr>
                <a:r>
                  <a:rPr lang="en-CA"/>
                  <a:t>Time (days)</a:t>
                </a:r>
              </a:p>
            </c:rich>
          </c:tx>
          <c:overlay val="0"/>
          <c:spPr>
            <a:noFill/>
            <a:ln w="25400">
              <a:noFill/>
            </a:ln>
          </c:sp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0" i="0" u="none" strike="noStrike" baseline="0">
                    <a:solidFill>
                      <a:srgbClr val="333333"/>
                    </a:solidFill>
                    <a:latin typeface="Calibri"/>
                    <a:ea typeface="Calibri"/>
                    <a:cs typeface="Calibri"/>
                  </a:defRPr>
                </a:pPr>
                <a:r>
                  <a:rPr lang="en-CA"/>
                  <a:t>RH (%)</a:t>
                </a:r>
              </a:p>
            </c:rich>
          </c:tx>
          <c:overlay val="0"/>
          <c:spPr>
            <a:noFill/>
            <a:ln w="25400">
              <a:noFill/>
            </a:ln>
          </c:spPr>
        </c:title>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857647455"/>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CA"/>
              <a:t>Your data</a:t>
            </a:r>
          </a:p>
        </c:rich>
      </c:tx>
      <c:overlay val="0"/>
      <c:spPr>
        <a:noFill/>
        <a:ln w="25400">
          <a:noFill/>
        </a:ln>
      </c:spPr>
    </c:title>
    <c:autoTitleDeleted val="0"/>
    <c:plotArea>
      <c:layout/>
      <c:scatterChart>
        <c:scatterStyle val="smoothMarker"/>
        <c:varyColors val="0"/>
        <c:ser>
          <c:idx val="0"/>
          <c:order val="0"/>
          <c:tx>
            <c:v>initial high RH</c:v>
          </c:tx>
          <c:spPr>
            <a:ln w="28575" cap="rnd">
              <a:solidFill>
                <a:schemeClr val="accent1"/>
              </a:solidFill>
              <a:prstDash val="dash"/>
              <a:round/>
            </a:ln>
            <a:effectLst/>
          </c:spPr>
          <c:marker>
            <c:symbol val="none"/>
          </c:marker>
          <c:xVal>
            <c:numRef>
              <c:f>Intermediate!$AG$3:$AG$4</c:f>
              <c:numCache>
                <c:formatCode>General</c:formatCode>
                <c:ptCount val="2"/>
                <c:pt idx="0">
                  <c:v>0</c:v>
                </c:pt>
                <c:pt idx="1">
                  <c:v>120</c:v>
                </c:pt>
              </c:numCache>
            </c:numRef>
          </c:xVal>
          <c:yVal>
            <c:numRef>
              <c:f>Intermediate!$AO$3:$AO$4</c:f>
              <c:numCache>
                <c:formatCode>General</c:formatCode>
                <c:ptCount val="2"/>
                <c:pt idx="0">
                  <c:v>60</c:v>
                </c:pt>
                <c:pt idx="1">
                  <c:v>60</c:v>
                </c:pt>
              </c:numCache>
            </c:numRef>
          </c:yVal>
          <c:smooth val="1"/>
          <c:extLst>
            <c:ext xmlns:c16="http://schemas.microsoft.com/office/drawing/2014/chart" uri="{C3380CC4-5D6E-409C-BE32-E72D297353CC}">
              <c16:uniqueId val="{00000000-977D-49BB-981D-535626EC9709}"/>
            </c:ext>
          </c:extLst>
        </c:ser>
        <c:ser>
          <c:idx val="1"/>
          <c:order val="1"/>
          <c:tx>
            <c:v>final low RH</c:v>
          </c:tx>
          <c:spPr>
            <a:ln w="28575" cap="rnd">
              <a:solidFill>
                <a:schemeClr val="accent1"/>
              </a:solidFill>
              <a:prstDash val="dash"/>
              <a:round/>
            </a:ln>
            <a:effectLst/>
          </c:spPr>
          <c:marker>
            <c:symbol val="none"/>
          </c:marker>
          <c:xVal>
            <c:numRef>
              <c:f>Intermediate!$AG$3:$AG$4</c:f>
              <c:numCache>
                <c:formatCode>General</c:formatCode>
                <c:ptCount val="2"/>
                <c:pt idx="0">
                  <c:v>0</c:v>
                </c:pt>
                <c:pt idx="1">
                  <c:v>120</c:v>
                </c:pt>
              </c:numCache>
            </c:numRef>
          </c:xVal>
          <c:yVal>
            <c:numRef>
              <c:f>Intermediate!$AP$3:$AP$4</c:f>
              <c:numCache>
                <c:formatCode>0</c:formatCode>
                <c:ptCount val="2"/>
                <c:pt idx="0">
                  <c:v>50</c:v>
                </c:pt>
                <c:pt idx="1">
                  <c:v>50</c:v>
                </c:pt>
              </c:numCache>
            </c:numRef>
          </c:yVal>
          <c:smooth val="1"/>
          <c:extLst>
            <c:ext xmlns:c16="http://schemas.microsoft.com/office/drawing/2014/chart" uri="{C3380CC4-5D6E-409C-BE32-E72D297353CC}">
              <c16:uniqueId val="{00000001-977D-49BB-981D-535626EC9709}"/>
            </c:ext>
          </c:extLst>
        </c:ser>
        <c:ser>
          <c:idx val="2"/>
          <c:order val="2"/>
          <c:tx>
            <c:v>avg ext RH</c:v>
          </c:tx>
          <c:spPr>
            <a:ln w="28575" cap="rnd">
              <a:solidFill>
                <a:schemeClr val="tx2">
                  <a:lumMod val="60000"/>
                  <a:lumOff val="40000"/>
                </a:schemeClr>
              </a:solidFill>
              <a:prstDash val="dash"/>
              <a:round/>
            </a:ln>
            <a:effectLst/>
          </c:spPr>
          <c:marker>
            <c:symbol val="none"/>
          </c:marker>
          <c:xVal>
            <c:numRef>
              <c:f>Intermediate!$AG$3:$AG$4</c:f>
              <c:numCache>
                <c:formatCode>General</c:formatCode>
                <c:ptCount val="2"/>
                <c:pt idx="0">
                  <c:v>0</c:v>
                </c:pt>
                <c:pt idx="1">
                  <c:v>120</c:v>
                </c:pt>
              </c:numCache>
            </c:numRef>
          </c:xVal>
          <c:yVal>
            <c:numRef>
              <c:f>Intermediate!$AH$3:$AH$4</c:f>
              <c:numCache>
                <c:formatCode>General</c:formatCode>
                <c:ptCount val="2"/>
                <c:pt idx="0">
                  <c:v>30</c:v>
                </c:pt>
                <c:pt idx="1">
                  <c:v>30</c:v>
                </c:pt>
              </c:numCache>
            </c:numRef>
          </c:yVal>
          <c:smooth val="1"/>
          <c:extLst>
            <c:ext xmlns:c16="http://schemas.microsoft.com/office/drawing/2014/chart" uri="{C3380CC4-5D6E-409C-BE32-E72D297353CC}">
              <c16:uniqueId val="{00000002-977D-49BB-981D-535626EC9709}"/>
            </c:ext>
          </c:extLst>
        </c:ser>
        <c:ser>
          <c:idx val="3"/>
          <c:order val="3"/>
          <c:tx>
            <c:v>intenal RH</c:v>
          </c:tx>
          <c:spPr>
            <a:ln w="28575" cap="rnd">
              <a:solidFill>
                <a:schemeClr val="accent4"/>
              </a:solidFill>
              <a:round/>
            </a:ln>
            <a:effectLst/>
          </c:spPr>
          <c:marker>
            <c:symbol val="none"/>
          </c:marker>
          <c:dPt>
            <c:idx val="1"/>
            <c:bubble3D val="0"/>
            <c:spPr>
              <a:ln w="25400">
                <a:solidFill>
                  <a:srgbClr val="FF0000"/>
                </a:solidFill>
                <a:prstDash val="solid"/>
              </a:ln>
            </c:spPr>
            <c:extLst>
              <c:ext xmlns:c16="http://schemas.microsoft.com/office/drawing/2014/chart" uri="{C3380CC4-5D6E-409C-BE32-E72D297353CC}">
                <c16:uniqueId val="{00000004-977D-49BB-981D-535626EC9709}"/>
              </c:ext>
            </c:extLst>
          </c:dPt>
          <c:xVal>
            <c:numRef>
              <c:f>Intermediate!$AG$3:$AG$4</c:f>
              <c:numCache>
                <c:formatCode>General</c:formatCode>
                <c:ptCount val="2"/>
                <c:pt idx="0">
                  <c:v>0</c:v>
                </c:pt>
                <c:pt idx="1">
                  <c:v>120</c:v>
                </c:pt>
              </c:numCache>
            </c:numRef>
          </c:xVal>
          <c:yVal>
            <c:numRef>
              <c:f>Intermediate!$AN$3:$AN$4</c:f>
              <c:numCache>
                <c:formatCode>0</c:formatCode>
                <c:ptCount val="2"/>
                <c:pt idx="0" formatCode="General">
                  <c:v>60</c:v>
                </c:pt>
                <c:pt idx="1">
                  <c:v>50</c:v>
                </c:pt>
              </c:numCache>
            </c:numRef>
          </c:yVal>
          <c:smooth val="1"/>
          <c:extLst>
            <c:ext xmlns:c16="http://schemas.microsoft.com/office/drawing/2014/chart" uri="{C3380CC4-5D6E-409C-BE32-E72D297353CC}">
              <c16:uniqueId val="{00000005-977D-49BB-981D-535626EC9709}"/>
            </c:ext>
          </c:extLst>
        </c:ser>
        <c:ser>
          <c:idx val="4"/>
          <c:order val="4"/>
          <c:tx>
            <c:v>Ext RH fluct</c:v>
          </c:tx>
          <c:spPr>
            <a:ln>
              <a:solidFill>
                <a:srgbClr val="002060"/>
              </a:solidFill>
            </a:ln>
          </c:spPr>
          <c:marker>
            <c:symbol val="none"/>
          </c:marker>
          <c:xVal>
            <c:numRef>
              <c:f>Intermediate!$AL$7:$AL$67</c:f>
              <c:numCache>
                <c:formatCode>0.0</c:formatCode>
                <c:ptCount val="6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62.000000000000007</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numCache>
            </c:numRef>
          </c:xVal>
          <c:yVal>
            <c:numRef>
              <c:f>Intermediate!$AJ$7:$AJ$67</c:f>
              <c:numCache>
                <c:formatCode>0.00</c:formatCode>
                <c:ptCount val="61"/>
                <c:pt idx="0">
                  <c:v>30</c:v>
                </c:pt>
                <c:pt idx="1">
                  <c:v>22.048890768612999</c:v>
                </c:pt>
                <c:pt idx="2">
                  <c:v>31.755402067032037</c:v>
                </c:pt>
                <c:pt idx="3">
                  <c:v>37.563561239368937</c:v>
                </c:pt>
                <c:pt idx="4">
                  <c:v>26.574756575324386</c:v>
                </c:pt>
                <c:pt idx="5">
                  <c:v>23.192645122886589</c:v>
                </c:pt>
                <c:pt idx="6">
                  <c:v>34.928133710113308</c:v>
                </c:pt>
                <c:pt idx="7">
                  <c:v>35.719348682053997</c:v>
                </c:pt>
                <c:pt idx="8">
                  <c:v>23.809180014753832</c:v>
                </c:pt>
                <c:pt idx="9">
                  <c:v>25.64742642849604</c:v>
                </c:pt>
                <c:pt idx="10">
                  <c:v>37.151757185576173</c:v>
                </c:pt>
                <c:pt idx="11">
                  <c:v>32.773648042860245</c:v>
                </c:pt>
                <c:pt idx="12">
                  <c:v>22.235892088762007</c:v>
                </c:pt>
                <c:pt idx="13">
                  <c:v>28.940468903520767</c:v>
                </c:pt>
                <c:pt idx="14">
                  <c:v>37.998025346242208</c:v>
                </c:pt>
                <c:pt idx="15">
                  <c:v>29.293771148226192</c:v>
                </c:pt>
                <c:pt idx="16">
                  <c:v>22.157891966691643</c:v>
                </c:pt>
                <c:pt idx="17">
                  <c:v>32.437566235143734</c:v>
                </c:pt>
                <c:pt idx="18">
                  <c:v>37.303955596563071</c:v>
                </c:pt>
                <c:pt idx="19">
                  <c:v>25.949906710001496</c:v>
                </c:pt>
                <c:pt idx="20">
                  <c:v>23.590201674584836</c:v>
                </c:pt>
                <c:pt idx="21">
                  <c:v>35.465213231411951</c:v>
                </c:pt>
                <c:pt idx="22">
                  <c:v>35.203218674198645</c:v>
                </c:pt>
                <c:pt idx="23">
                  <c:v>23.386048831514749</c:v>
                </c:pt>
                <c:pt idx="24">
                  <c:v>26.256973006551625</c:v>
                </c:pt>
                <c:pt idx="25">
                  <c:v>37.440316035329097</c:v>
                </c:pt>
                <c:pt idx="26">
                  <c:v>32.100395032585475</c:v>
                </c:pt>
                <c:pt idx="27">
                  <c:v>22.09597032743023</c:v>
                </c:pt>
                <c:pt idx="28">
                  <c:v>29.644613068968578</c:v>
                </c:pt>
                <c:pt idx="29">
                  <c:v>37.982490040195721</c:v>
                </c:pt>
                <c:pt idx="30">
                  <c:v>28.593056782011715</c:v>
                </c:pt>
                <c:pt idx="31">
                  <c:v>22.328127127946779</c:v>
                </c:pt>
                <c:pt idx="32">
                  <c:v>33.100697020847086</c:v>
                </c:pt>
                <c:pt idx="33">
                  <c:v>36.987318075829677</c:v>
                </c:pt>
                <c:pt idx="34">
                  <c:v>25.356681410717727</c:v>
                </c:pt>
                <c:pt idx="35">
                  <c:v>24.037808206845291</c:v>
                </c:pt>
                <c:pt idx="36">
                  <c:v>35.959618427854551</c:v>
                </c:pt>
                <c:pt idx="37">
                  <c:v>34.646460087988189</c:v>
                </c:pt>
                <c:pt idx="38">
                  <c:v>23.014561726703143</c:v>
                </c:pt>
                <c:pt idx="39">
                  <c:v>26.895746468005882</c:v>
                </c:pt>
                <c:pt idx="40">
                  <c:v>37.670778256445772</c:v>
                </c:pt>
                <c:pt idx="41">
                  <c:v>31.41074139233503</c:v>
                </c:pt>
                <c:pt idx="42">
                  <c:v>22.017766035415178</c:v>
                </c:pt>
                <c:pt idx="43">
                  <c:v>30.351532221722877</c:v>
                </c:pt>
                <c:pt idx="44">
                  <c:v>37.904624618431612</c:v>
                </c:pt>
                <c:pt idx="45">
                  <c:v>27.903328327855228</c:v>
                </c:pt>
                <c:pt idx="46">
                  <c:v>22.558266995815323</c:v>
                </c:pt>
                <c:pt idx="47">
                  <c:v>33.739616463580816</c:v>
                </c:pt>
                <c:pt idx="48">
                  <c:v>36.616121095325049</c:v>
                </c:pt>
                <c:pt idx="49">
                  <c:v>24.799712791182557</c:v>
                </c:pt>
                <c:pt idx="50">
                  <c:v>24.531969648980571</c:v>
                </c:pt>
                <c:pt idx="51">
                  <c:v>36.407488808172033</c:v>
                </c:pt>
                <c:pt idx="52">
                  <c:v>34.05342029209212</c:v>
                </c:pt>
                <c:pt idx="53">
                  <c:v>22.697619403497335</c:v>
                </c:pt>
                <c:pt idx="54">
                  <c:v>27.558759042931218</c:v>
                </c:pt>
                <c:pt idx="55">
                  <c:v>37.841344318098308</c:v>
                </c:pt>
                <c:pt idx="56">
                  <c:v>30.710072182533086</c:v>
                </c:pt>
                <c:pt idx="57">
                  <c:v>22.001889859588484</c:v>
                </c:pt>
                <c:pt idx="58">
                  <c:v>31.055706486109244</c:v>
                </c:pt>
                <c:pt idx="59">
                  <c:v>37.765037081802305</c:v>
                </c:pt>
                <c:pt idx="60">
                  <c:v>27.229971430354443</c:v>
                </c:pt>
              </c:numCache>
            </c:numRef>
          </c:yVal>
          <c:smooth val="1"/>
          <c:extLst>
            <c:ext xmlns:c16="http://schemas.microsoft.com/office/drawing/2014/chart" uri="{C3380CC4-5D6E-409C-BE32-E72D297353CC}">
              <c16:uniqueId val="{00000006-977D-49BB-981D-535626EC9709}"/>
            </c:ext>
          </c:extLst>
        </c:ser>
        <c:ser>
          <c:idx val="5"/>
          <c:order val="5"/>
          <c:tx>
            <c:v>int RH fluct</c:v>
          </c:tx>
          <c:spPr>
            <a:ln w="19050">
              <a:solidFill>
                <a:srgbClr val="FF0000"/>
              </a:solidFill>
            </a:ln>
          </c:spPr>
          <c:marker>
            <c:symbol val="none"/>
          </c:marker>
          <c:xVal>
            <c:numRef>
              <c:f>Intermediate!$AR$7:$AR$67</c:f>
              <c:numCache>
                <c:formatCode>0.0</c:formatCode>
                <c:ptCount val="6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62.000000000000007</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numCache>
            </c:numRef>
          </c:xVal>
          <c:yVal>
            <c:numRef>
              <c:f>Intermediate!$AT$7:$AT$67</c:f>
              <c:numCache>
                <c:formatCode>0.00</c:formatCode>
                <c:ptCount val="61"/>
                <c:pt idx="0">
                  <c:v>60</c:v>
                </c:pt>
                <c:pt idx="1">
                  <c:v>57.182963589537671</c:v>
                </c:pt>
                <c:pt idx="2">
                  <c:v>60.251800689010679</c:v>
                </c:pt>
                <c:pt idx="3">
                  <c:v>62.021187079789641</c:v>
                </c:pt>
                <c:pt idx="4">
                  <c:v>58.191585525108131</c:v>
                </c:pt>
                <c:pt idx="5">
                  <c:v>56.897548374295525</c:v>
                </c:pt>
                <c:pt idx="6">
                  <c:v>60.642711236704436</c:v>
                </c:pt>
                <c:pt idx="7">
                  <c:v>60.739782894017999</c:v>
                </c:pt>
                <c:pt idx="8">
                  <c:v>56.603060004917943</c:v>
                </c:pt>
                <c:pt idx="9">
                  <c:v>57.049142142832011</c:v>
                </c:pt>
                <c:pt idx="10">
                  <c:v>60.717252395192062</c:v>
                </c:pt>
                <c:pt idx="11">
                  <c:v>59.091216014286744</c:v>
                </c:pt>
                <c:pt idx="12">
                  <c:v>55.411964029587338</c:v>
                </c:pt>
                <c:pt idx="13">
                  <c:v>57.480156301173594</c:v>
                </c:pt>
                <c:pt idx="14">
                  <c:v>60.332675115414062</c:v>
                </c:pt>
                <c:pt idx="15">
                  <c:v>57.264590382742064</c:v>
                </c:pt>
                <c:pt idx="16">
                  <c:v>54.719297322230553</c:v>
                </c:pt>
                <c:pt idx="17">
                  <c:v>57.979188745047907</c:v>
                </c:pt>
                <c:pt idx="18">
                  <c:v>59.434651865521026</c:v>
                </c:pt>
                <c:pt idx="19">
                  <c:v>55.483302236667171</c:v>
                </c:pt>
                <c:pt idx="20">
                  <c:v>54.530067224861611</c:v>
                </c:pt>
                <c:pt idx="21">
                  <c:v>58.321737743803979</c:v>
                </c:pt>
                <c:pt idx="22">
                  <c:v>58.067739558066215</c:v>
                </c:pt>
                <c:pt idx="23">
                  <c:v>53.962016277171578</c:v>
                </c:pt>
                <c:pt idx="24">
                  <c:v>54.752324335517208</c:v>
                </c:pt>
                <c:pt idx="25">
                  <c:v>58.313438678443035</c:v>
                </c:pt>
                <c:pt idx="26">
                  <c:v>56.366798344195153</c:v>
                </c:pt>
                <c:pt idx="27">
                  <c:v>52.865323442476743</c:v>
                </c:pt>
                <c:pt idx="28">
                  <c:v>55.214871022989527</c:v>
                </c:pt>
                <c:pt idx="29">
                  <c:v>57.827496680065238</c:v>
                </c:pt>
                <c:pt idx="30">
                  <c:v>54.531018927337236</c:v>
                </c:pt>
                <c:pt idx="31">
                  <c:v>52.276042375982264</c:v>
                </c:pt>
                <c:pt idx="32">
                  <c:v>55.700232340282355</c:v>
                </c:pt>
                <c:pt idx="33">
                  <c:v>56.829106025276559</c:v>
                </c:pt>
                <c:pt idx="34">
                  <c:v>52.785560470239247</c:v>
                </c:pt>
                <c:pt idx="35">
                  <c:v>52.179269402281761</c:v>
                </c:pt>
                <c:pt idx="36">
                  <c:v>55.986539475951517</c:v>
                </c:pt>
                <c:pt idx="37">
                  <c:v>55.382153362662734</c:v>
                </c:pt>
                <c:pt idx="38">
                  <c:v>51.338187242234376</c:v>
                </c:pt>
                <c:pt idx="39">
                  <c:v>52.465248822668627</c:v>
                </c:pt>
                <c:pt idx="40">
                  <c:v>55.890259418815262</c:v>
                </c:pt>
                <c:pt idx="41">
                  <c:v>53.636913797445004</c:v>
                </c:pt>
                <c:pt idx="42">
                  <c:v>50.33925534513839</c:v>
                </c:pt>
                <c:pt idx="43">
                  <c:v>52.950510740574295</c:v>
                </c:pt>
                <c:pt idx="44">
                  <c:v>55.301541539477199</c:v>
                </c:pt>
                <c:pt idx="45">
                  <c:v>51.801109442618412</c:v>
                </c:pt>
                <c:pt idx="46">
                  <c:v>49.852755665271779</c:v>
                </c:pt>
                <c:pt idx="47">
                  <c:v>53.413205487860267</c:v>
                </c:pt>
                <c:pt idx="48">
                  <c:v>54.205373698441683</c:v>
                </c:pt>
                <c:pt idx="49">
                  <c:v>50.099904263727524</c:v>
                </c:pt>
                <c:pt idx="50">
                  <c:v>49.843989882993526</c:v>
                </c:pt>
                <c:pt idx="51">
                  <c:v>53.635829602724009</c:v>
                </c:pt>
                <c:pt idx="52">
                  <c:v>52.684473430697373</c:v>
                </c:pt>
                <c:pt idx="53">
                  <c:v>48.732539801165785</c:v>
                </c:pt>
                <c:pt idx="54">
                  <c:v>50.18625301431041</c:v>
                </c:pt>
                <c:pt idx="55">
                  <c:v>53.447114772699436</c:v>
                </c:pt>
                <c:pt idx="56">
                  <c:v>50.903357394177704</c:v>
                </c:pt>
                <c:pt idx="57">
                  <c:v>47.833963286529496</c:v>
                </c:pt>
                <c:pt idx="58">
                  <c:v>50.685235495369753</c:v>
                </c:pt>
                <c:pt idx="59">
                  <c:v>52.755012360600773</c:v>
                </c:pt>
                <c:pt idx="60">
                  <c:v>49.076657143451477</c:v>
                </c:pt>
              </c:numCache>
            </c:numRef>
          </c:yVal>
          <c:smooth val="1"/>
          <c:extLst>
            <c:ext xmlns:c16="http://schemas.microsoft.com/office/drawing/2014/chart" uri="{C3380CC4-5D6E-409C-BE32-E72D297353CC}">
              <c16:uniqueId val="{00000007-977D-49BB-981D-535626EC9709}"/>
            </c:ext>
          </c:extLst>
        </c:ser>
        <c:dLbls>
          <c:showLegendKey val="0"/>
          <c:showVal val="0"/>
          <c:showCatName val="0"/>
          <c:showSerName val="0"/>
          <c:showPercent val="0"/>
          <c:showBubbleSize val="0"/>
        </c:dLbls>
        <c:axId val="2039390783"/>
        <c:axId val="1"/>
      </c:scatterChart>
      <c:valAx>
        <c:axId val="2039390783"/>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sz="1400" b="0" i="0" u="none" strike="noStrike" baseline="0">
                    <a:solidFill>
                      <a:srgbClr val="333333"/>
                    </a:solidFill>
                    <a:latin typeface="Calibri"/>
                    <a:ea typeface="Calibri"/>
                    <a:cs typeface="Calibri"/>
                  </a:defRPr>
                </a:pPr>
                <a:r>
                  <a:rPr lang="en-CA"/>
                  <a:t>Time (days)</a:t>
                </a:r>
              </a:p>
            </c:rich>
          </c:tx>
          <c:overlay val="0"/>
          <c:spPr>
            <a:noFill/>
            <a:ln w="25400">
              <a:noFill/>
            </a:ln>
          </c:sp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0" i="0" u="none" strike="noStrike" baseline="0">
                    <a:solidFill>
                      <a:srgbClr val="333333"/>
                    </a:solidFill>
                    <a:latin typeface="Calibri"/>
                    <a:ea typeface="Calibri"/>
                    <a:cs typeface="Calibri"/>
                  </a:defRPr>
                </a:pPr>
                <a:r>
                  <a:rPr lang="en-CA"/>
                  <a:t>RH (%)</a:t>
                </a:r>
              </a:p>
            </c:rich>
          </c:tx>
          <c:overlay val="0"/>
          <c:spPr>
            <a:noFill/>
            <a:ln w="25400">
              <a:noFill/>
            </a:ln>
          </c:spPr>
        </c:title>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39390783"/>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canada.ca/en/transparency/terms.html" TargetMode="External"/><Relationship Id="rId2" Type="http://schemas.openxmlformats.org/officeDocument/2006/relationships/hyperlink" Target="https://www.canada.ca/en/conservation-institute.html" TargetMode="External"/><Relationship Id="rId1" Type="http://schemas.openxmlformats.org/officeDocument/2006/relationships/image" Target="../media/image1.png"/><Relationship Id="rId4" Type="http://schemas.openxmlformats.org/officeDocument/2006/relationships/hyperlink" Target="https://www.canada.ca/en/conservation-institute/services/conservation-preservation-publications/technical-bulletins/silica-gel-relative-humidity.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hyperlink" Target="https://www.canada.ca/en/conservation-institute/services/conservation-preservation-publications/technical-bulletins/airtightness-measurement-display-cases.html" TargetMode="External"/><Relationship Id="rId1" Type="http://schemas.openxmlformats.org/officeDocument/2006/relationships/hyperlink" Target="https://www.canada.ca/en/conservation-institute/services/conservation-preservation-publications/technical-bulletins/silica-gel-relative-humidity.html" TargetMode="External"/></Relationships>
</file>

<file path=xl/drawings/drawing1.xml><?xml version="1.0" encoding="utf-8"?>
<xdr:wsDr xmlns:xdr="http://schemas.openxmlformats.org/drawingml/2006/spreadsheetDrawing" xmlns:a="http://schemas.openxmlformats.org/drawingml/2006/main">
  <xdr:oneCellAnchor>
    <xdr:from>
      <xdr:col>0</xdr:col>
      <xdr:colOff>892365</xdr:colOff>
      <xdr:row>2</xdr:row>
      <xdr:rowOff>1431348</xdr:rowOff>
    </xdr:from>
    <xdr:ext cx="1159228" cy="538345"/>
    <mc:AlternateContent xmlns:mc="http://schemas.openxmlformats.org/markup-compatibility/2006">
      <mc:Choice xmlns:a14="http://schemas.microsoft.com/office/drawing/2010/main" Requires="a14">
        <xdr:sp macro="" textlink="">
          <xdr:nvSpPr>
            <xdr:cNvPr id="3" name="TextBox 2">
              <a:extLst>
                <a:ext uri="{FF2B5EF4-FFF2-40B4-BE49-F238E27FC236}">
                  <a16:creationId xmlns:a16="http://schemas.microsoft.com/office/drawing/2014/main" id="{1BD54CC8-A17D-5608-048E-184942A275DD}"/>
                </a:ext>
              </a:extLst>
            </xdr:cNvPr>
            <xdr:cNvSpPr txBox="1"/>
          </xdr:nvSpPr>
          <xdr:spPr>
            <a:xfrm>
              <a:off x="899680" y="2002848"/>
              <a:ext cx="1181100" cy="545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fr-CA" sz="1400" b="0" i="0">
                        <a:latin typeface="Cambria Math" panose="02040503050406030204" pitchFamily="18" charset="0"/>
                      </a:rPr>
                      <m:t>Q</m:t>
                    </m:r>
                    <m:r>
                      <a:rPr lang="fr-CA" sz="1400" b="0" i="0">
                        <a:latin typeface="Cambria Math" panose="02040503050406030204" pitchFamily="18" charset="0"/>
                      </a:rPr>
                      <m:t>=</m:t>
                    </m:r>
                    <m:f>
                      <m:fPr>
                        <m:ctrlPr>
                          <a:rPr lang="fr-CA" sz="1400" b="0" i="1">
                            <a:latin typeface="Cambria Math" panose="02040503050406030204" pitchFamily="18" charset="0"/>
                          </a:rPr>
                        </m:ctrlPr>
                      </m:fPr>
                      <m:num>
                        <m:r>
                          <m:rPr>
                            <m:sty m:val="p"/>
                          </m:rPr>
                          <a:rPr lang="fr-CA" sz="1400" b="0" i="0">
                            <a:latin typeface="Cambria Math" panose="02040503050406030204" pitchFamily="18" charset="0"/>
                          </a:rPr>
                          <m:t>C</m:t>
                        </m:r>
                        <m:r>
                          <m:rPr>
                            <m:sty m:val="p"/>
                          </m:rPr>
                          <a:rPr lang="fr-CA" sz="1400" b="0" i="0" baseline="-25000">
                            <a:latin typeface="Cambria Math" panose="02040503050406030204" pitchFamily="18" charset="0"/>
                          </a:rPr>
                          <m:t>eq</m:t>
                        </m:r>
                        <m:r>
                          <a:rPr lang="fr-CA" sz="1400" b="0" i="0">
                            <a:latin typeface="Cambria Math" panose="02040503050406030204" pitchFamily="18" charset="0"/>
                          </a:rPr>
                          <m:t> </m:t>
                        </m:r>
                        <m:r>
                          <m:rPr>
                            <m:sty m:val="p"/>
                          </m:rPr>
                          <a:rPr lang="fr-CA" sz="1400" b="0" i="0">
                            <a:latin typeface="Cambria Math" panose="02040503050406030204" pitchFamily="18" charset="0"/>
                          </a:rPr>
                          <m:t>D</m:t>
                        </m:r>
                        <m:r>
                          <a:rPr lang="fr-CA" sz="1400" b="0" i="0">
                            <a:latin typeface="Cambria Math" panose="02040503050406030204" pitchFamily="18" charset="0"/>
                          </a:rPr>
                          <m:t> </m:t>
                        </m:r>
                        <m:r>
                          <m:rPr>
                            <m:sty m:val="p"/>
                          </m:rPr>
                          <a:rPr lang="fr-CA" sz="1400" b="0" i="0">
                            <a:latin typeface="Cambria Math" panose="02040503050406030204" pitchFamily="18" charset="0"/>
                          </a:rPr>
                          <m:t>V</m:t>
                        </m:r>
                        <m:r>
                          <a:rPr lang="fr-CA" sz="1400" b="0" i="0">
                            <a:latin typeface="Cambria Math" panose="02040503050406030204" pitchFamily="18" charset="0"/>
                          </a:rPr>
                          <m:t> </m:t>
                        </m:r>
                        <m:r>
                          <m:rPr>
                            <m:sty m:val="p"/>
                          </m:rPr>
                          <a:rPr lang="fr-CA" sz="1400" b="0" i="0">
                            <a:latin typeface="Cambria Math" panose="02040503050406030204" pitchFamily="18" charset="0"/>
                          </a:rPr>
                          <m:t>N</m:t>
                        </m:r>
                        <m:r>
                          <a:rPr lang="fr-CA" sz="1400" b="0" i="0">
                            <a:latin typeface="Cambria Math" panose="02040503050406030204" pitchFamily="18" charset="0"/>
                          </a:rPr>
                          <m:t> </m:t>
                        </m:r>
                        <m:r>
                          <m:rPr>
                            <m:sty m:val="p"/>
                          </m:rPr>
                          <a:rPr lang="fr-CA" sz="1400" b="0" i="0">
                            <a:latin typeface="Cambria Math" panose="02040503050406030204" pitchFamily="18" charset="0"/>
                          </a:rPr>
                          <m:t>t</m:t>
                        </m:r>
                      </m:num>
                      <m:den>
                        <m:r>
                          <m:rPr>
                            <m:sty m:val="p"/>
                          </m:rPr>
                          <a:rPr lang="fr-CA" sz="1400" b="0" i="0">
                            <a:latin typeface="Cambria Math" panose="02040503050406030204" pitchFamily="18" charset="0"/>
                          </a:rPr>
                          <m:t>M</m:t>
                        </m:r>
                        <m:r>
                          <m:rPr>
                            <m:sty m:val="p"/>
                          </m:rPr>
                          <a:rPr lang="fr-CA" sz="1400" b="0" i="0" baseline="-25000">
                            <a:latin typeface="Cambria Math" panose="02040503050406030204" pitchFamily="18" charset="0"/>
                          </a:rPr>
                          <m:t>H</m:t>
                        </m:r>
                        <m:r>
                          <a:rPr lang="fr-CA" sz="1400" b="0" i="0">
                            <a:latin typeface="Cambria Math" panose="02040503050406030204" pitchFamily="18" charset="0"/>
                          </a:rPr>
                          <m:t> </m:t>
                        </m:r>
                        <m:r>
                          <m:rPr>
                            <m:sty m:val="p"/>
                          </m:rPr>
                          <a:rPr lang="fr-CA" sz="1400" b="0" i="0">
                            <a:latin typeface="Cambria Math" panose="02040503050406030204" pitchFamily="18" charset="0"/>
                          </a:rPr>
                          <m:t>F</m:t>
                        </m:r>
                      </m:den>
                    </m:f>
                  </m:oMath>
                </m:oMathPara>
              </a14:m>
              <a:endParaRPr lang="en-CA" sz="1400" i="0"/>
            </a:p>
          </xdr:txBody>
        </xdr:sp>
      </mc:Choice>
      <mc:Fallback>
        <xdr:sp macro="" textlink="">
          <xdr:nvSpPr>
            <xdr:cNvPr id="3" name="TextBox 2">
              <a:extLst>
                <a:ext uri="{FF2B5EF4-FFF2-40B4-BE49-F238E27FC236}">
                  <a16:creationId xmlns:a16="http://schemas.microsoft.com/office/drawing/2014/main" id="{1BD54CC8-A17D-5608-048E-184942A275DD}"/>
                </a:ext>
              </a:extLst>
            </xdr:cNvPr>
            <xdr:cNvSpPr txBox="1"/>
          </xdr:nvSpPr>
          <xdr:spPr>
            <a:xfrm>
              <a:off x="899680" y="2002848"/>
              <a:ext cx="1181100" cy="545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fr-CA" sz="1400" b="0" i="0">
                  <a:latin typeface="Cambria Math" panose="02040503050406030204" pitchFamily="18" charset="0"/>
                </a:rPr>
                <a:t>Q=(C</a:t>
              </a:r>
              <a:r>
                <a:rPr lang="fr-CA" sz="1400" b="0" i="0" baseline="-25000">
                  <a:latin typeface="Cambria Math" panose="02040503050406030204" pitchFamily="18" charset="0"/>
                </a:rPr>
                <a:t>eq</a:t>
              </a:r>
              <a:r>
                <a:rPr lang="fr-CA" sz="1400" b="0" i="0">
                  <a:latin typeface="Cambria Math" panose="02040503050406030204" pitchFamily="18" charset="0"/>
                </a:rPr>
                <a:t> D V N t)/(M</a:t>
              </a:r>
              <a:r>
                <a:rPr lang="fr-CA" sz="1400" b="0" i="0" baseline="-25000">
                  <a:latin typeface="Cambria Math" panose="02040503050406030204" pitchFamily="18" charset="0"/>
                </a:rPr>
                <a:t>H</a:t>
              </a:r>
              <a:r>
                <a:rPr lang="fr-CA" sz="1400" b="0" i="0">
                  <a:latin typeface="Cambria Math" panose="02040503050406030204" pitchFamily="18" charset="0"/>
                </a:rPr>
                <a:t> F)</a:t>
              </a:r>
              <a:endParaRPr lang="en-CA" sz="1400" i="0"/>
            </a:p>
          </xdr:txBody>
        </xdr:sp>
      </mc:Fallback>
    </mc:AlternateContent>
    <xdr:clientData/>
  </xdr:oneCellAnchor>
  <xdr:twoCellAnchor editAs="oneCell">
    <xdr:from>
      <xdr:col>0</xdr:col>
      <xdr:colOff>0</xdr:colOff>
      <xdr:row>11</xdr:row>
      <xdr:rowOff>43891</xdr:rowOff>
    </xdr:from>
    <xdr:to>
      <xdr:col>0</xdr:col>
      <xdr:colOff>3438144</xdr:colOff>
      <xdr:row>13</xdr:row>
      <xdr:rowOff>153619</xdr:rowOff>
    </xdr:to>
    <xdr:pic>
      <xdr:nvPicPr>
        <xdr:cNvPr id="5534" name="Picture 1">
          <a:extLst>
            <a:ext uri="{FF2B5EF4-FFF2-40B4-BE49-F238E27FC236}">
              <a16:creationId xmlns:a16="http://schemas.microsoft.com/office/drawing/2014/main" id="{500FED3D-C82B-7A07-A94C-7200B51A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19718"/>
          <a:ext cx="3438144" cy="431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1847164</xdr:colOff>
      <xdr:row>9</xdr:row>
      <xdr:rowOff>9525</xdr:rowOff>
    </xdr:from>
    <xdr:to>
      <xdr:col>0</xdr:col>
      <xdr:colOff>3930185</xdr:colOff>
      <xdr:row>10</xdr:row>
      <xdr:rowOff>9525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EB1F2A1B-834B-6EF6-8BD6-4FE7E86CADA8}"/>
            </a:ext>
          </a:extLst>
        </xdr:cNvPr>
        <xdr:cNvSpPr/>
      </xdr:nvSpPr>
      <xdr:spPr>
        <a:xfrm>
          <a:off x="1876425" y="7800975"/>
          <a:ext cx="2105025" cy="2667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1873529</xdr:colOff>
      <xdr:row>10</xdr:row>
      <xdr:rowOff>369265</xdr:rowOff>
    </xdr:from>
    <xdr:to>
      <xdr:col>0</xdr:col>
      <xdr:colOff>3278123</xdr:colOff>
      <xdr:row>10</xdr:row>
      <xdr:rowOff>524150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9AF9B25D-5014-51FE-F75E-E2EB72258539}"/>
            </a:ext>
          </a:extLst>
        </xdr:cNvPr>
        <xdr:cNvSpPr/>
      </xdr:nvSpPr>
      <xdr:spPr>
        <a:xfrm>
          <a:off x="1895475" y="8420100"/>
          <a:ext cx="1419225" cy="1619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4311244</xdr:colOff>
      <xdr:row>2</xdr:row>
      <xdr:rowOff>762000</xdr:rowOff>
    </xdr:from>
    <xdr:to>
      <xdr:col>0</xdr:col>
      <xdr:colOff>7515377</xdr:colOff>
      <xdr:row>2</xdr:row>
      <xdr:rowOff>981075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D1860195-4C8C-D886-6278-ABBDCC505B33}"/>
            </a:ext>
          </a:extLst>
        </xdr:cNvPr>
        <xdr:cNvSpPr/>
      </xdr:nvSpPr>
      <xdr:spPr>
        <a:xfrm>
          <a:off x="4362450" y="1371600"/>
          <a:ext cx="3248025" cy="21907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117043</xdr:colOff>
      <xdr:row>17</xdr:row>
      <xdr:rowOff>7315</xdr:rowOff>
    </xdr:from>
    <xdr:to>
      <xdr:col>22</xdr:col>
      <xdr:colOff>577901</xdr:colOff>
      <xdr:row>40</xdr:row>
      <xdr:rowOff>153619</xdr:rowOff>
    </xdr:to>
    <xdr:graphicFrame macro="">
      <xdr:nvGraphicFramePr>
        <xdr:cNvPr id="2814" name="Chart 1">
          <a:extLst>
            <a:ext uri="{FF2B5EF4-FFF2-40B4-BE49-F238E27FC236}">
              <a16:creationId xmlns:a16="http://schemas.microsoft.com/office/drawing/2014/main" id="{60B1C55B-02E2-84C1-9A5F-42356D8E1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36576</xdr:colOff>
      <xdr:row>17</xdr:row>
      <xdr:rowOff>29261</xdr:rowOff>
    </xdr:from>
    <xdr:to>
      <xdr:col>15</xdr:col>
      <xdr:colOff>555955</xdr:colOff>
      <xdr:row>40</xdr:row>
      <xdr:rowOff>182880</xdr:rowOff>
    </xdr:to>
    <xdr:pic>
      <xdr:nvPicPr>
        <xdr:cNvPr id="2815" name="Picture 2">
          <a:extLst>
            <a:ext uri="{FF2B5EF4-FFF2-40B4-BE49-F238E27FC236}">
              <a16:creationId xmlns:a16="http://schemas.microsoft.com/office/drawing/2014/main" id="{F11A06E4-FCFF-27BC-BA82-B444663DB2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66099" y="3401568"/>
          <a:ext cx="7103059" cy="495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0.13006</cdr:x>
      <cdr:y>0.08214</cdr:y>
    </cdr:from>
    <cdr:to>
      <cdr:x>0.31422</cdr:x>
      <cdr:y>0.24603</cdr:y>
    </cdr:to>
    <cdr:sp macro="" textlink="">
      <cdr:nvSpPr>
        <cdr:cNvPr id="2" name="TextBox 1"/>
        <cdr:cNvSpPr txBox="1"/>
      </cdr:nvSpPr>
      <cdr:spPr>
        <a:xfrm xmlns:a="http://schemas.openxmlformats.org/drawingml/2006/main">
          <a:off x="575094" y="260589"/>
          <a:ext cx="914400" cy="6469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a:p>
      </cdr:txBody>
    </cdr:sp>
  </cdr:relSizeAnchor>
</c:userShapes>
</file>

<file path=xl/drawings/drawing4.xml><?xml version="1.0" encoding="utf-8"?>
<xdr:wsDr xmlns:xdr="http://schemas.openxmlformats.org/drawingml/2006/spreadsheetDrawing" xmlns:a="http://schemas.openxmlformats.org/drawingml/2006/main">
  <xdr:twoCellAnchor>
    <xdr:from>
      <xdr:col>16</xdr:col>
      <xdr:colOff>58522</xdr:colOff>
      <xdr:row>18</xdr:row>
      <xdr:rowOff>36576</xdr:rowOff>
    </xdr:from>
    <xdr:to>
      <xdr:col>23</xdr:col>
      <xdr:colOff>475488</xdr:colOff>
      <xdr:row>41</xdr:row>
      <xdr:rowOff>182880</xdr:rowOff>
    </xdr:to>
    <xdr:graphicFrame macro="">
      <xdr:nvGraphicFramePr>
        <xdr:cNvPr id="3700" name="Chart 1">
          <a:extLst>
            <a:ext uri="{FF2B5EF4-FFF2-40B4-BE49-F238E27FC236}">
              <a16:creationId xmlns:a16="http://schemas.microsoft.com/office/drawing/2014/main" id="{A610AB01-F7C3-BA3A-5364-094AD6759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58522</xdr:colOff>
      <xdr:row>18</xdr:row>
      <xdr:rowOff>7315</xdr:rowOff>
    </xdr:from>
    <xdr:to>
      <xdr:col>15</xdr:col>
      <xdr:colOff>548640</xdr:colOff>
      <xdr:row>42</xdr:row>
      <xdr:rowOff>0</xdr:rowOff>
    </xdr:to>
    <xdr:pic>
      <xdr:nvPicPr>
        <xdr:cNvPr id="3701" name="Picture 1">
          <a:extLst>
            <a:ext uri="{FF2B5EF4-FFF2-40B4-BE49-F238E27FC236}">
              <a16:creationId xmlns:a16="http://schemas.microsoft.com/office/drawing/2014/main" id="{21A592E6-F03B-917E-738D-DDEEBE39B1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07578" y="3474720"/>
          <a:ext cx="6569049" cy="5003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190195</xdr:colOff>
      <xdr:row>18</xdr:row>
      <xdr:rowOff>0</xdr:rowOff>
    </xdr:from>
    <xdr:to>
      <xdr:col>22</xdr:col>
      <xdr:colOff>73152</xdr:colOff>
      <xdr:row>41</xdr:row>
      <xdr:rowOff>153619</xdr:rowOff>
    </xdr:to>
    <xdr:graphicFrame macro="">
      <xdr:nvGraphicFramePr>
        <xdr:cNvPr id="4737" name="Chart 1">
          <a:extLst>
            <a:ext uri="{FF2B5EF4-FFF2-40B4-BE49-F238E27FC236}">
              <a16:creationId xmlns:a16="http://schemas.microsoft.com/office/drawing/2014/main" id="{F90E92C5-12CE-2443-9BA2-E123D4FDF6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95098</xdr:colOff>
      <xdr:row>18</xdr:row>
      <xdr:rowOff>36576</xdr:rowOff>
    </xdr:from>
    <xdr:to>
      <xdr:col>14</xdr:col>
      <xdr:colOff>577901</xdr:colOff>
      <xdr:row>41</xdr:row>
      <xdr:rowOff>168250</xdr:rowOff>
    </xdr:to>
    <xdr:pic>
      <xdr:nvPicPr>
        <xdr:cNvPr id="4738" name="Picture 1">
          <a:extLst>
            <a:ext uri="{FF2B5EF4-FFF2-40B4-BE49-F238E27FC236}">
              <a16:creationId xmlns:a16="http://schemas.microsoft.com/office/drawing/2014/main" id="{D5B1B673-EC29-521A-6944-A39E622D31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8861" y="3672230"/>
          <a:ext cx="6269126" cy="4857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1806854</xdr:colOff>
      <xdr:row>2</xdr:row>
      <xdr:rowOff>28575</xdr:rowOff>
    </xdr:from>
    <xdr:to>
      <xdr:col>0</xdr:col>
      <xdr:colOff>4999219</xdr:colOff>
      <xdr:row>2</xdr:row>
      <xdr:rowOff>178970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4755C6C-E6A6-C807-A04B-E2867261B2B2}"/>
            </a:ext>
          </a:extLst>
        </xdr:cNvPr>
        <xdr:cNvSpPr/>
      </xdr:nvSpPr>
      <xdr:spPr>
        <a:xfrm>
          <a:off x="1828800" y="419100"/>
          <a:ext cx="3228975" cy="14287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1835429</xdr:colOff>
      <xdr:row>3</xdr:row>
      <xdr:rowOff>66675</xdr:rowOff>
    </xdr:from>
    <xdr:to>
      <xdr:col>0</xdr:col>
      <xdr:colOff>6279974</xdr:colOff>
      <xdr:row>4</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07C484B-DBF4-B5A5-F640-2A4B347FFC00}"/>
            </a:ext>
          </a:extLst>
        </xdr:cNvPr>
        <xdr:cNvSpPr/>
      </xdr:nvSpPr>
      <xdr:spPr>
        <a:xfrm>
          <a:off x="1857375" y="647700"/>
          <a:ext cx="4495800" cy="1619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tabSelected="1" zoomScaleNormal="100" workbookViewId="0"/>
  </sheetViews>
  <sheetFormatPr defaultRowHeight="12.7" x14ac:dyDescent="0.25"/>
  <cols>
    <col min="1" max="1" width="122.5546875" customWidth="1"/>
    <col min="2" max="2" width="9.109375" customWidth="1"/>
    <col min="3" max="3" width="13.88671875" customWidth="1"/>
  </cols>
  <sheetData>
    <row r="1" spans="1:3" ht="29.95" customHeight="1" x14ac:dyDescent="0.25">
      <c r="A1" s="192" t="s">
        <v>68</v>
      </c>
      <c r="C1" s="20"/>
    </row>
    <row r="2" spans="1:3" ht="18" customHeight="1" x14ac:dyDescent="0.25">
      <c r="A2" s="191" t="s">
        <v>13</v>
      </c>
      <c r="C2" s="20"/>
    </row>
    <row r="3" spans="1:3" ht="163.44999999999999" customHeight="1" x14ac:dyDescent="0.25">
      <c r="A3" s="136" t="s">
        <v>137</v>
      </c>
    </row>
    <row r="4" spans="1:3" ht="280.55" customHeight="1" x14ac:dyDescent="0.25">
      <c r="A4" s="136" t="s">
        <v>139</v>
      </c>
    </row>
    <row r="5" spans="1:3" ht="17.3" customHeight="1" x14ac:dyDescent="0.25">
      <c r="A5" s="191" t="s">
        <v>96</v>
      </c>
    </row>
    <row r="6" spans="1:3" ht="62.25" x14ac:dyDescent="0.25">
      <c r="A6" s="136" t="s">
        <v>97</v>
      </c>
    </row>
    <row r="7" spans="1:3" ht="13.85" x14ac:dyDescent="0.25">
      <c r="A7" s="99"/>
    </row>
    <row r="8" spans="1:3" ht="15.55" x14ac:dyDescent="0.25">
      <c r="A8" s="137" t="s">
        <v>98</v>
      </c>
    </row>
    <row r="9" spans="1:3" ht="15.55" x14ac:dyDescent="0.25">
      <c r="A9" s="137"/>
    </row>
    <row r="10" spans="1:3" ht="25.5" customHeight="1" x14ac:dyDescent="0.3">
      <c r="A10" s="179" t="s">
        <v>138</v>
      </c>
    </row>
    <row r="11" spans="1:3" ht="42.05" customHeight="1" x14ac:dyDescent="0.3">
      <c r="A11" s="193" t="s">
        <v>134</v>
      </c>
    </row>
    <row r="12" spans="1:3" x14ac:dyDescent="0.25">
      <c r="A12" s="98"/>
    </row>
  </sheetData>
  <sheetProtection password="CD8A" sheet="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opLeftCell="A8" zoomScale="86" zoomScaleNormal="86" workbookViewId="0">
      <selection activeCell="F15" sqref="F15"/>
    </sheetView>
  </sheetViews>
  <sheetFormatPr defaultRowHeight="12.7" x14ac:dyDescent="0.25"/>
  <cols>
    <col min="1" max="1" width="14.88671875" customWidth="1"/>
    <col min="2" max="2" width="79" customWidth="1"/>
    <col min="3" max="3" width="15.6640625" customWidth="1"/>
    <col min="4" max="4" width="7.88671875" customWidth="1"/>
    <col min="5" max="5" width="12.109375" customWidth="1"/>
    <col min="6" max="6" width="12.33203125" customWidth="1"/>
    <col min="7" max="7" width="9.109375" customWidth="1"/>
    <col min="8" max="8" width="10.33203125" customWidth="1"/>
    <col min="9" max="9" width="14.88671875" customWidth="1"/>
  </cols>
  <sheetData>
    <row r="1" spans="1:21" ht="17.850000000000001" x14ac:dyDescent="0.35">
      <c r="A1" s="139" t="s">
        <v>120</v>
      </c>
      <c r="B1" s="99"/>
      <c r="C1" s="99"/>
      <c r="D1" s="99"/>
      <c r="E1" s="99"/>
      <c r="F1" s="99"/>
      <c r="G1" s="99"/>
      <c r="H1" s="99"/>
      <c r="I1" s="99"/>
      <c r="J1" s="99"/>
      <c r="K1" s="99"/>
      <c r="L1" s="99"/>
    </row>
    <row r="2" spans="1:21" ht="14.4" thickBot="1" x14ac:dyDescent="0.3">
      <c r="A2" s="99"/>
      <c r="B2" s="99"/>
      <c r="C2" s="99"/>
      <c r="D2" s="99"/>
      <c r="E2" s="99"/>
      <c r="F2" s="99"/>
      <c r="G2" s="99"/>
      <c r="H2" s="99"/>
      <c r="I2" s="99"/>
      <c r="J2" s="99"/>
      <c r="K2" s="99"/>
      <c r="L2" s="99"/>
    </row>
    <row r="3" spans="1:21" ht="15.55" x14ac:dyDescent="0.25">
      <c r="A3" s="99"/>
      <c r="B3" s="140" t="s">
        <v>70</v>
      </c>
      <c r="C3" s="102"/>
      <c r="D3" s="102"/>
      <c r="E3" s="102"/>
      <c r="F3" s="102"/>
      <c r="G3" s="102"/>
      <c r="H3" s="102"/>
      <c r="I3" s="103"/>
      <c r="J3" s="104"/>
      <c r="K3" s="104"/>
      <c r="L3" s="104"/>
      <c r="M3" s="104"/>
      <c r="N3" s="104"/>
      <c r="O3" s="104"/>
      <c r="P3" s="104"/>
      <c r="Q3" s="104"/>
      <c r="R3" s="104"/>
      <c r="S3" s="27"/>
      <c r="T3" s="27"/>
      <c r="U3" s="27"/>
    </row>
    <row r="4" spans="1:21" ht="15.55" x14ac:dyDescent="0.25">
      <c r="A4" s="99"/>
      <c r="B4" s="141" t="s">
        <v>128</v>
      </c>
      <c r="C4" s="104"/>
      <c r="D4" s="104"/>
      <c r="E4" s="104"/>
      <c r="F4" s="104"/>
      <c r="G4" s="104"/>
      <c r="H4" s="104"/>
      <c r="I4" s="105"/>
      <c r="J4" s="104"/>
      <c r="K4" s="104"/>
      <c r="L4" s="104"/>
      <c r="M4" s="104"/>
      <c r="N4" s="104"/>
      <c r="O4" s="104"/>
      <c r="P4" s="104"/>
      <c r="Q4" s="104"/>
      <c r="R4" s="104"/>
      <c r="S4" s="27"/>
      <c r="T4" s="27"/>
      <c r="U4" s="27"/>
    </row>
    <row r="5" spans="1:21" ht="15.7" customHeight="1" x14ac:dyDescent="0.25">
      <c r="A5" s="99" t="s">
        <v>1</v>
      </c>
      <c r="B5" s="141" t="s">
        <v>99</v>
      </c>
      <c r="C5" s="104"/>
      <c r="D5" s="104"/>
      <c r="E5" s="104"/>
      <c r="F5" s="104"/>
      <c r="G5" s="104"/>
      <c r="H5" s="104"/>
      <c r="I5" s="105"/>
      <c r="J5" s="104"/>
      <c r="K5" s="104"/>
      <c r="L5" s="104"/>
      <c r="M5" s="104"/>
      <c r="N5" s="104"/>
      <c r="O5" s="104"/>
      <c r="P5" s="104"/>
      <c r="Q5" s="104"/>
      <c r="R5" s="104"/>
      <c r="S5" s="27"/>
      <c r="T5" s="27"/>
      <c r="U5" s="27"/>
    </row>
    <row r="6" spans="1:21" ht="16.149999999999999" thickBot="1" x14ac:dyDescent="0.3">
      <c r="A6" s="99"/>
      <c r="B6" s="142" t="s">
        <v>100</v>
      </c>
      <c r="C6" s="106"/>
      <c r="D6" s="106"/>
      <c r="E6" s="106"/>
      <c r="F6" s="106"/>
      <c r="G6" s="106"/>
      <c r="H6" s="106"/>
      <c r="I6" s="107"/>
      <c r="J6" s="104"/>
      <c r="K6" s="104"/>
      <c r="L6" s="104"/>
      <c r="M6" s="104"/>
      <c r="N6" s="104"/>
      <c r="O6" s="104"/>
      <c r="P6" s="109"/>
      <c r="Q6" s="109"/>
      <c r="R6" s="109"/>
      <c r="S6" s="27"/>
      <c r="T6" s="27"/>
      <c r="U6" s="27"/>
    </row>
    <row r="7" spans="1:21" ht="13.85" x14ac:dyDescent="0.25">
      <c r="A7" s="99"/>
      <c r="B7" s="104"/>
      <c r="C7" s="99"/>
      <c r="D7" s="99"/>
      <c r="E7" s="99"/>
      <c r="F7" s="99"/>
      <c r="G7" s="99"/>
      <c r="H7" s="99"/>
      <c r="I7" s="104"/>
      <c r="J7" s="104"/>
      <c r="K7" s="104"/>
      <c r="L7" s="104"/>
      <c r="M7" s="104"/>
      <c r="N7" s="104"/>
      <c r="O7" s="104"/>
      <c r="P7" s="109"/>
      <c r="Q7" s="109"/>
      <c r="R7" s="109"/>
      <c r="S7" s="27"/>
      <c r="T7" s="27"/>
      <c r="U7" s="27"/>
    </row>
    <row r="8" spans="1:21" s="143" customFormat="1" ht="15.55" x14ac:dyDescent="0.3">
      <c r="B8" s="144" t="s">
        <v>13</v>
      </c>
      <c r="C8" s="144" t="s">
        <v>15</v>
      </c>
      <c r="D8" s="145" t="s">
        <v>16</v>
      </c>
      <c r="E8" s="144" t="s">
        <v>17</v>
      </c>
      <c r="F8" s="144" t="s">
        <v>14</v>
      </c>
      <c r="I8" s="146"/>
      <c r="J8" s="146"/>
      <c r="K8" s="146"/>
      <c r="L8" s="146"/>
      <c r="M8" s="146"/>
      <c r="N8" s="146"/>
      <c r="O8" s="146"/>
      <c r="P8" s="147"/>
      <c r="Q8" s="147"/>
      <c r="R8" s="147"/>
      <c r="S8" s="146"/>
      <c r="T8" s="146"/>
      <c r="U8" s="146"/>
    </row>
    <row r="9" spans="1:21" ht="15.55" x14ac:dyDescent="0.3">
      <c r="A9" s="99"/>
      <c r="B9" s="146" t="s">
        <v>65</v>
      </c>
      <c r="C9" s="146"/>
      <c r="D9" s="149">
        <v>45</v>
      </c>
      <c r="E9" s="146" t="s">
        <v>2</v>
      </c>
      <c r="F9" s="104"/>
      <c r="G9" s="99"/>
      <c r="H9" s="99"/>
      <c r="I9" s="104"/>
      <c r="J9" s="104"/>
      <c r="K9" s="104"/>
      <c r="L9" s="104"/>
      <c r="M9" s="104"/>
      <c r="N9" s="104"/>
      <c r="O9" s="104"/>
      <c r="P9" s="109"/>
      <c r="Q9" s="109"/>
      <c r="R9" s="109"/>
      <c r="S9" s="27"/>
      <c r="T9" s="27"/>
      <c r="U9" s="27"/>
    </row>
    <row r="10" spans="1:21" ht="15.55" x14ac:dyDescent="0.3">
      <c r="A10" s="99"/>
      <c r="B10" s="147" t="s">
        <v>116</v>
      </c>
      <c r="C10" s="146"/>
      <c r="D10" s="149">
        <v>65</v>
      </c>
      <c r="E10" s="146" t="s">
        <v>2</v>
      </c>
      <c r="F10" s="104"/>
      <c r="G10" s="99"/>
      <c r="H10" s="99"/>
      <c r="I10" s="104"/>
      <c r="J10" s="104"/>
      <c r="K10" s="104"/>
      <c r="L10" s="104"/>
      <c r="M10" s="104"/>
      <c r="N10" s="104"/>
      <c r="O10" s="104"/>
      <c r="P10" s="109"/>
      <c r="Q10" s="109"/>
      <c r="R10" s="109"/>
      <c r="S10" s="27"/>
      <c r="T10" s="27"/>
      <c r="U10" s="27"/>
    </row>
    <row r="11" spans="1:21" ht="15.55" x14ac:dyDescent="0.3">
      <c r="A11" s="99"/>
      <c r="B11" s="147" t="s">
        <v>117</v>
      </c>
      <c r="C11" s="146"/>
      <c r="D11" s="149">
        <v>25</v>
      </c>
      <c r="E11" s="147" t="s">
        <v>2</v>
      </c>
      <c r="F11" s="104"/>
      <c r="G11" s="99"/>
      <c r="H11" s="99"/>
      <c r="I11" s="99"/>
      <c r="J11" s="99"/>
      <c r="K11" s="99"/>
      <c r="L11" s="99"/>
      <c r="M11" s="99"/>
      <c r="N11" s="99"/>
      <c r="O11" s="99"/>
      <c r="P11" s="109"/>
      <c r="Q11" s="109"/>
      <c r="R11" s="109"/>
    </row>
    <row r="12" spans="1:21" ht="15.55" x14ac:dyDescent="0.3">
      <c r="A12" s="104"/>
      <c r="B12" s="146" t="s">
        <v>66</v>
      </c>
      <c r="C12" s="146"/>
      <c r="D12" s="149">
        <v>21</v>
      </c>
      <c r="E12" s="146" t="s">
        <v>119</v>
      </c>
      <c r="F12" s="104"/>
      <c r="G12" s="99"/>
      <c r="H12" s="99"/>
      <c r="I12" s="99"/>
      <c r="J12" s="99"/>
      <c r="K12" s="99"/>
      <c r="L12" s="99"/>
      <c r="M12" s="99"/>
      <c r="N12" s="99"/>
      <c r="O12" s="99"/>
      <c r="P12" s="109"/>
      <c r="Q12" s="109"/>
      <c r="R12" s="109"/>
    </row>
    <row r="13" spans="1:21" ht="17.850000000000001" x14ac:dyDescent="0.3">
      <c r="A13" s="104"/>
      <c r="B13" s="147" t="s">
        <v>8</v>
      </c>
      <c r="C13" s="146" t="s">
        <v>20</v>
      </c>
      <c r="D13" s="150">
        <v>1</v>
      </c>
      <c r="E13" s="147" t="s">
        <v>122</v>
      </c>
      <c r="F13" s="138" t="s">
        <v>104</v>
      </c>
      <c r="G13" s="99"/>
      <c r="H13" s="99"/>
      <c r="I13" s="99"/>
      <c r="J13" s="99"/>
      <c r="K13" s="99"/>
      <c r="L13" s="99"/>
      <c r="M13" s="99"/>
      <c r="N13" s="99"/>
      <c r="O13" s="99"/>
      <c r="P13" s="109"/>
      <c r="Q13" s="109"/>
      <c r="R13" s="109"/>
    </row>
    <row r="14" spans="1:21" ht="15.55" x14ac:dyDescent="0.3">
      <c r="A14" s="104"/>
      <c r="B14" s="146" t="s">
        <v>10</v>
      </c>
      <c r="C14" s="146" t="s">
        <v>21</v>
      </c>
      <c r="D14" s="150">
        <v>1</v>
      </c>
      <c r="E14" s="147" t="s">
        <v>9</v>
      </c>
      <c r="F14" s="138" t="s">
        <v>105</v>
      </c>
      <c r="G14" s="99"/>
      <c r="H14" s="99"/>
      <c r="I14" s="99"/>
      <c r="J14" s="99"/>
      <c r="K14" s="99"/>
      <c r="L14" s="99"/>
      <c r="M14" s="99"/>
      <c r="N14" s="99"/>
      <c r="O14" s="99"/>
      <c r="P14" s="109"/>
      <c r="Q14" s="109"/>
      <c r="R14" s="109"/>
    </row>
    <row r="15" spans="1:21" ht="15.55" x14ac:dyDescent="0.3">
      <c r="A15" s="104"/>
      <c r="B15" s="148" t="s">
        <v>141</v>
      </c>
      <c r="C15" s="146" t="s">
        <v>0</v>
      </c>
      <c r="D15" s="149">
        <v>183</v>
      </c>
      <c r="E15" s="147" t="s">
        <v>5</v>
      </c>
      <c r="F15" s="138" t="s">
        <v>140</v>
      </c>
      <c r="G15" s="99"/>
      <c r="H15" s="99"/>
      <c r="I15" s="99"/>
      <c r="J15" s="99"/>
      <c r="K15" s="99"/>
      <c r="L15" s="99"/>
      <c r="M15" s="99"/>
      <c r="N15" s="99"/>
      <c r="O15" s="99"/>
      <c r="P15" s="109"/>
      <c r="Q15" s="109"/>
      <c r="R15" s="109"/>
    </row>
    <row r="16" spans="1:21" ht="15.55" x14ac:dyDescent="0.3">
      <c r="A16" s="104"/>
      <c r="B16" s="146" t="s">
        <v>118</v>
      </c>
      <c r="C16" s="146" t="s">
        <v>26</v>
      </c>
      <c r="D16" s="151">
        <v>5</v>
      </c>
      <c r="E16" s="152" t="s">
        <v>2</v>
      </c>
      <c r="F16" s="138" t="s">
        <v>106</v>
      </c>
      <c r="G16" s="99"/>
      <c r="H16" s="99"/>
      <c r="I16" s="99"/>
      <c r="J16" s="99"/>
      <c r="K16" s="99"/>
      <c r="L16" s="99"/>
      <c r="M16" s="99"/>
      <c r="N16" s="120"/>
      <c r="O16" s="120"/>
      <c r="P16" s="110"/>
      <c r="Q16" s="110"/>
      <c r="R16" s="109"/>
    </row>
    <row r="17" spans="1:18" ht="14.4" thickBot="1" x14ac:dyDescent="0.3">
      <c r="A17" s="104"/>
      <c r="B17" s="109"/>
      <c r="C17" s="111"/>
      <c r="D17" s="112"/>
      <c r="E17" s="99"/>
      <c r="F17" s="99"/>
      <c r="G17" s="99"/>
      <c r="H17" s="99"/>
      <c r="I17" s="99"/>
      <c r="J17" s="99"/>
      <c r="K17" s="99"/>
      <c r="L17" s="99"/>
      <c r="M17" s="99"/>
      <c r="N17" s="99"/>
      <c r="O17" s="99"/>
      <c r="P17" s="121"/>
      <c r="Q17" s="109"/>
      <c r="R17" s="109"/>
    </row>
    <row r="18" spans="1:18" ht="17.850000000000001" x14ac:dyDescent="0.4">
      <c r="A18" s="153" t="s">
        <v>107</v>
      </c>
      <c r="B18" s="154" t="s">
        <v>101</v>
      </c>
      <c r="C18" s="155" t="s">
        <v>123</v>
      </c>
      <c r="D18" s="156">
        <v>6.11</v>
      </c>
      <c r="E18" s="157" t="s">
        <v>11</v>
      </c>
      <c r="F18" s="99"/>
      <c r="G18" s="99"/>
      <c r="H18" s="99"/>
      <c r="I18" s="99"/>
      <c r="J18" s="99"/>
      <c r="K18" s="99"/>
      <c r="L18" s="99"/>
      <c r="M18" s="99"/>
      <c r="N18" s="99"/>
      <c r="O18" s="99"/>
      <c r="P18" s="110"/>
      <c r="Q18" s="122"/>
      <c r="R18" s="109"/>
    </row>
    <row r="19" spans="1:18" ht="17.850000000000001" x14ac:dyDescent="0.3">
      <c r="A19" s="158"/>
      <c r="B19" s="148" t="s">
        <v>126</v>
      </c>
      <c r="C19" s="147" t="s">
        <v>22</v>
      </c>
      <c r="D19" s="159">
        <f>+D20/D$13</f>
        <v>10.977972439280091</v>
      </c>
      <c r="E19" s="160" t="s">
        <v>124</v>
      </c>
      <c r="F19" s="99"/>
      <c r="G19" s="99"/>
      <c r="H19" s="99"/>
      <c r="I19" s="99"/>
      <c r="J19" s="99"/>
      <c r="K19" s="99"/>
      <c r="L19" s="99"/>
      <c r="M19" s="99"/>
      <c r="N19" s="99"/>
      <c r="O19" s="99"/>
      <c r="P19" s="123"/>
      <c r="Q19" s="109"/>
      <c r="R19" s="109"/>
    </row>
    <row r="20" spans="1:18" ht="15.55" x14ac:dyDescent="0.3">
      <c r="A20" s="158" t="s">
        <v>1</v>
      </c>
      <c r="B20" s="148" t="s">
        <v>24</v>
      </c>
      <c r="C20" s="147" t="s">
        <v>23</v>
      </c>
      <c r="D20" s="159">
        <f>+(Intermediate!C$5*Intermediate!C9*D$13*D$14*D$15)/(D18*2*D$16)</f>
        <v>10.977972439280091</v>
      </c>
      <c r="E20" s="161" t="s">
        <v>6</v>
      </c>
      <c r="F20" s="99"/>
      <c r="G20" s="99"/>
      <c r="H20" s="99"/>
      <c r="I20" s="99"/>
      <c r="J20" s="99"/>
      <c r="K20" s="99"/>
      <c r="L20" s="99"/>
      <c r="M20" s="99"/>
      <c r="N20" s="99"/>
      <c r="O20" s="99"/>
      <c r="P20" s="123"/>
      <c r="Q20" s="123"/>
      <c r="R20" s="109"/>
    </row>
    <row r="21" spans="1:18" ht="16.149999999999999" thickBot="1" x14ac:dyDescent="0.35">
      <c r="A21" s="162"/>
      <c r="B21" s="163" t="s">
        <v>12</v>
      </c>
      <c r="C21" s="164" t="s">
        <v>127</v>
      </c>
      <c r="D21" s="165">
        <f>D20+D20*((-13.643+13.678*EXP(-D$9/-47.773))/100)</f>
        <v>13.331752489337745</v>
      </c>
      <c r="E21" s="166" t="s">
        <v>6</v>
      </c>
      <c r="F21" s="99"/>
      <c r="G21" s="99"/>
      <c r="H21" s="99"/>
      <c r="I21" s="99"/>
      <c r="J21" s="99"/>
      <c r="K21" s="99"/>
      <c r="L21" s="99"/>
      <c r="M21" s="99"/>
      <c r="N21" s="99"/>
      <c r="O21" s="99"/>
      <c r="P21" s="123"/>
      <c r="Q21" s="123"/>
      <c r="R21" s="109"/>
    </row>
    <row r="22" spans="1:18" ht="14.4" thickBot="1" x14ac:dyDescent="0.3">
      <c r="A22" s="104"/>
      <c r="B22" s="109"/>
      <c r="C22" s="113"/>
      <c r="D22" s="114"/>
      <c r="E22" s="99"/>
      <c r="F22" s="99"/>
      <c r="G22" s="99"/>
      <c r="H22" s="99"/>
      <c r="I22" s="99"/>
      <c r="J22" s="99"/>
      <c r="K22" s="99"/>
      <c r="L22" s="99"/>
      <c r="M22" s="99"/>
      <c r="N22" s="99"/>
      <c r="O22" s="99"/>
      <c r="P22" s="124"/>
      <c r="Q22" s="109"/>
      <c r="R22" s="109"/>
    </row>
    <row r="23" spans="1:18" ht="17.850000000000001" x14ac:dyDescent="0.4">
      <c r="A23" s="153" t="s">
        <v>108</v>
      </c>
      <c r="B23" s="154" t="s">
        <v>101</v>
      </c>
      <c r="C23" s="155" t="s">
        <v>123</v>
      </c>
      <c r="D23" s="156">
        <v>5.42</v>
      </c>
      <c r="E23" s="157" t="s">
        <v>11</v>
      </c>
      <c r="F23" s="99"/>
      <c r="G23" s="99"/>
      <c r="H23" s="99"/>
      <c r="I23" s="99"/>
      <c r="J23" s="99"/>
      <c r="K23" s="99"/>
      <c r="L23" s="99"/>
      <c r="M23" s="99"/>
      <c r="N23" s="99"/>
      <c r="O23" s="99"/>
      <c r="P23" s="110"/>
      <c r="Q23" s="122"/>
      <c r="R23" s="109"/>
    </row>
    <row r="24" spans="1:18" ht="17.850000000000001" x14ac:dyDescent="0.3">
      <c r="A24" s="158"/>
      <c r="B24" s="148" t="s">
        <v>126</v>
      </c>
      <c r="C24" s="147" t="s">
        <v>22</v>
      </c>
      <c r="D24" s="159">
        <f>+D25/D$13</f>
        <v>12.375537196310212</v>
      </c>
      <c r="E24" s="160" t="s">
        <v>124</v>
      </c>
      <c r="F24" s="99"/>
      <c r="G24" s="99"/>
      <c r="H24" s="99"/>
      <c r="I24" s="99"/>
      <c r="J24" s="99"/>
      <c r="K24" s="99"/>
      <c r="L24" s="99"/>
      <c r="M24" s="99"/>
      <c r="N24" s="99"/>
      <c r="O24" s="99"/>
      <c r="P24" s="123"/>
      <c r="Q24" s="109"/>
      <c r="R24" s="109"/>
    </row>
    <row r="25" spans="1:18" ht="15.55" x14ac:dyDescent="0.3">
      <c r="A25" s="158" t="s">
        <v>1</v>
      </c>
      <c r="B25" s="148" t="s">
        <v>24</v>
      </c>
      <c r="C25" s="147" t="s">
        <v>23</v>
      </c>
      <c r="D25" s="159">
        <f>+(Intermediate!C$5*Intermediate!C9*D$13*D$14*D$15)/(D23*2*D$16)</f>
        <v>12.375537196310212</v>
      </c>
      <c r="E25" s="161" t="s">
        <v>6</v>
      </c>
      <c r="F25" s="99"/>
      <c r="G25" s="99"/>
      <c r="H25" s="99"/>
      <c r="I25" s="99"/>
      <c r="J25" s="99"/>
      <c r="K25" s="99"/>
      <c r="L25" s="99"/>
      <c r="M25" s="99"/>
      <c r="N25" s="99"/>
      <c r="O25" s="99"/>
      <c r="P25" s="123"/>
      <c r="Q25" s="123"/>
      <c r="R25" s="109"/>
    </row>
    <row r="26" spans="1:18" ht="16.149999999999999" thickBot="1" x14ac:dyDescent="0.35">
      <c r="A26" s="162"/>
      <c r="B26" s="163" t="s">
        <v>12</v>
      </c>
      <c r="C26" s="164" t="s">
        <v>127</v>
      </c>
      <c r="D26" s="165">
        <f>D25+(D25 *(0.22358*D$9^1.2686)/100)</f>
        <v>15.837021818886964</v>
      </c>
      <c r="E26" s="166" t="s">
        <v>6</v>
      </c>
      <c r="F26" s="99"/>
      <c r="G26" s="99"/>
      <c r="H26" s="99"/>
      <c r="I26" s="99"/>
      <c r="J26" s="99"/>
      <c r="K26" s="99"/>
      <c r="L26" s="99"/>
      <c r="M26" s="99"/>
      <c r="N26" s="99"/>
      <c r="O26" s="99"/>
      <c r="P26" s="123"/>
      <c r="Q26" s="123"/>
      <c r="R26" s="109"/>
    </row>
    <row r="27" spans="1:18" ht="14.4" thickBot="1" x14ac:dyDescent="0.3">
      <c r="A27" s="104"/>
      <c r="B27" s="109"/>
      <c r="C27" s="113"/>
      <c r="D27" s="115"/>
      <c r="E27" s="99"/>
      <c r="F27" s="99"/>
      <c r="G27" s="99"/>
      <c r="H27" s="99"/>
      <c r="I27" s="99"/>
      <c r="J27" s="99"/>
      <c r="K27" s="99"/>
      <c r="L27" s="99"/>
      <c r="M27" s="99"/>
      <c r="N27" s="99"/>
      <c r="O27" s="99"/>
      <c r="P27" s="109"/>
      <c r="Q27" s="109"/>
      <c r="R27" s="109"/>
    </row>
    <row r="28" spans="1:18" ht="17.850000000000001" x14ac:dyDescent="0.4">
      <c r="A28" s="153" t="s">
        <v>125</v>
      </c>
      <c r="B28" s="154" t="s">
        <v>101</v>
      </c>
      <c r="C28" s="155" t="s">
        <v>123</v>
      </c>
      <c r="D28" s="156">
        <v>4.04</v>
      </c>
      <c r="E28" s="157" t="s">
        <v>11</v>
      </c>
      <c r="F28" s="99"/>
      <c r="G28" s="99"/>
      <c r="H28" s="99"/>
      <c r="I28" s="99"/>
      <c r="J28" s="99"/>
      <c r="K28" s="99"/>
      <c r="L28" s="99"/>
      <c r="M28" s="99"/>
      <c r="N28" s="99"/>
      <c r="O28" s="99"/>
      <c r="P28" s="99"/>
      <c r="Q28" s="99"/>
      <c r="R28" s="99"/>
    </row>
    <row r="29" spans="1:18" ht="18" customHeight="1" x14ac:dyDescent="0.3">
      <c r="A29" s="158"/>
      <c r="B29" s="148" t="s">
        <v>126</v>
      </c>
      <c r="C29" s="147" t="s">
        <v>22</v>
      </c>
      <c r="D29" s="159">
        <f>+D30/D$13</f>
        <v>16.60282465445578</v>
      </c>
      <c r="E29" s="160" t="s">
        <v>124</v>
      </c>
      <c r="F29" s="99"/>
      <c r="G29" s="99"/>
      <c r="H29" s="99"/>
      <c r="I29" s="99"/>
      <c r="J29" s="99"/>
      <c r="K29" s="99"/>
      <c r="L29" s="99"/>
      <c r="M29" s="99"/>
      <c r="N29" s="99"/>
      <c r="O29" s="99"/>
      <c r="P29" s="99"/>
      <c r="Q29" s="99"/>
      <c r="R29" s="99"/>
    </row>
    <row r="30" spans="1:18" ht="15.55" x14ac:dyDescent="0.3">
      <c r="A30" s="158" t="s">
        <v>1</v>
      </c>
      <c r="B30" s="148" t="s">
        <v>24</v>
      </c>
      <c r="C30" s="147" t="s">
        <v>23</v>
      </c>
      <c r="D30" s="159">
        <f>+(Intermediate!C$5*Intermediate!C9*D$13*D$14*D$15)/(D28*2*D$16)</f>
        <v>16.60282465445578</v>
      </c>
      <c r="E30" s="161" t="s">
        <v>6</v>
      </c>
      <c r="F30" s="99"/>
      <c r="G30" s="99"/>
      <c r="H30" s="99"/>
      <c r="I30" s="99"/>
      <c r="J30" s="99"/>
      <c r="K30" s="99"/>
      <c r="L30" s="99"/>
      <c r="M30" s="99"/>
      <c r="N30" s="99"/>
      <c r="O30" s="99"/>
      <c r="P30" s="99"/>
      <c r="Q30" s="99"/>
      <c r="R30" s="99"/>
    </row>
    <row r="31" spans="1:18" ht="16.149999999999999" thickBot="1" x14ac:dyDescent="0.35">
      <c r="A31" s="162"/>
      <c r="B31" s="163" t="s">
        <v>12</v>
      </c>
      <c r="C31" s="164" t="s">
        <v>127</v>
      </c>
      <c r="D31" s="165">
        <f>D30+D30 *(0.382*D$9/100)</f>
        <v>19.456850212556731</v>
      </c>
      <c r="E31" s="166" t="s">
        <v>6</v>
      </c>
      <c r="F31" s="99"/>
      <c r="G31" s="99"/>
      <c r="H31" s="99"/>
      <c r="I31" s="99"/>
      <c r="J31" s="99"/>
      <c r="K31" s="99"/>
      <c r="L31" s="99"/>
      <c r="M31" s="99"/>
      <c r="N31" s="99"/>
      <c r="O31" s="99"/>
      <c r="P31" s="99"/>
      <c r="Q31" s="99"/>
      <c r="R31" s="99"/>
    </row>
    <row r="32" spans="1:18" ht="14.4" thickBot="1" x14ac:dyDescent="0.3">
      <c r="A32" s="104"/>
      <c r="B32" s="109"/>
      <c r="C32" s="111"/>
      <c r="D32" s="116"/>
      <c r="E32" s="99"/>
      <c r="F32" s="99"/>
      <c r="G32" s="99"/>
      <c r="H32" s="99"/>
      <c r="I32" s="99"/>
      <c r="J32" s="99"/>
      <c r="K32" s="99"/>
      <c r="L32" s="99"/>
      <c r="M32" s="99"/>
      <c r="N32" s="99"/>
      <c r="O32" s="99"/>
      <c r="P32" s="99"/>
      <c r="Q32" s="99"/>
      <c r="R32" s="99"/>
    </row>
    <row r="33" spans="1:18" ht="17.850000000000001" x14ac:dyDescent="0.4">
      <c r="A33" s="167" t="s">
        <v>109</v>
      </c>
      <c r="B33" s="154" t="s">
        <v>101</v>
      </c>
      <c r="C33" s="155" t="s">
        <v>123</v>
      </c>
      <c r="D33" s="156">
        <v>1.93</v>
      </c>
      <c r="E33" s="157" t="s">
        <v>11</v>
      </c>
      <c r="F33" s="99"/>
      <c r="G33" s="99"/>
      <c r="H33" s="99"/>
      <c r="I33" s="99"/>
      <c r="J33" s="99"/>
      <c r="K33" s="99"/>
      <c r="L33" s="99"/>
      <c r="M33" s="99"/>
      <c r="N33" s="99"/>
      <c r="O33" s="99"/>
      <c r="P33" s="99"/>
      <c r="Q33" s="99"/>
      <c r="R33" s="99"/>
    </row>
    <row r="34" spans="1:18" ht="17.850000000000001" x14ac:dyDescent="0.3">
      <c r="A34" s="168" t="s">
        <v>113</v>
      </c>
      <c r="B34" s="148" t="s">
        <v>126</v>
      </c>
      <c r="C34" s="147" t="s">
        <v>22</v>
      </c>
      <c r="D34" s="159">
        <f>+D35/D$13</f>
        <v>34.754099276684634</v>
      </c>
      <c r="E34" s="160" t="s">
        <v>124</v>
      </c>
      <c r="F34" s="99"/>
      <c r="G34" s="99"/>
      <c r="H34" s="99"/>
      <c r="I34" s="99"/>
      <c r="J34" s="99"/>
      <c r="K34" s="99"/>
      <c r="L34" s="99"/>
      <c r="M34" s="99"/>
      <c r="N34" s="99"/>
      <c r="O34" s="99"/>
      <c r="P34" s="99"/>
      <c r="Q34" s="99"/>
      <c r="R34" s="99"/>
    </row>
    <row r="35" spans="1:18" ht="15.55" x14ac:dyDescent="0.3">
      <c r="A35" s="168"/>
      <c r="B35" s="148" t="s">
        <v>24</v>
      </c>
      <c r="C35" s="147" t="s">
        <v>23</v>
      </c>
      <c r="D35" s="159">
        <f>+(Intermediate!C$5*Intermediate!C9*D$13*D$14*D$15)/(D33*2*D$16)</f>
        <v>34.754099276684634</v>
      </c>
      <c r="E35" s="161" t="s">
        <v>6</v>
      </c>
      <c r="F35" s="99"/>
      <c r="G35" s="99"/>
      <c r="H35" s="99"/>
      <c r="I35" s="99"/>
      <c r="J35" s="99"/>
      <c r="K35" s="99"/>
      <c r="L35" s="99"/>
      <c r="M35" s="99"/>
      <c r="N35" s="99"/>
      <c r="O35" s="99"/>
      <c r="P35" s="99"/>
      <c r="Q35" s="99"/>
      <c r="R35" s="99"/>
    </row>
    <row r="36" spans="1:18" ht="16.149999999999999" thickBot="1" x14ac:dyDescent="0.35">
      <c r="A36" s="162"/>
      <c r="B36" s="163" t="s">
        <v>12</v>
      </c>
      <c r="C36" s="164" t="s">
        <v>127</v>
      </c>
      <c r="D36" s="165">
        <f>D35+D35 *(0.529*D$9/100)</f>
        <v>43.027312609499411</v>
      </c>
      <c r="E36" s="166" t="s">
        <v>6</v>
      </c>
      <c r="F36" s="99"/>
      <c r="G36" s="99"/>
      <c r="H36" s="99"/>
      <c r="I36" s="99"/>
      <c r="J36" s="99"/>
      <c r="K36" s="99"/>
      <c r="L36" s="99"/>
      <c r="M36" s="99"/>
      <c r="N36" s="99"/>
      <c r="O36" s="99"/>
      <c r="P36" s="99"/>
      <c r="Q36" s="99"/>
      <c r="R36" s="99"/>
    </row>
    <row r="37" spans="1:18" ht="14.4" thickBot="1" x14ac:dyDescent="0.3">
      <c r="A37" s="108" t="s">
        <v>1</v>
      </c>
      <c r="B37" s="109"/>
      <c r="C37" s="113"/>
      <c r="D37" s="113"/>
      <c r="E37" s="99"/>
      <c r="F37" s="99"/>
      <c r="G37" s="99"/>
      <c r="H37" s="99"/>
      <c r="I37" s="99"/>
      <c r="J37" s="99"/>
      <c r="K37" s="99"/>
      <c r="L37" s="99"/>
      <c r="M37" s="99"/>
      <c r="N37" s="99"/>
      <c r="O37" s="99"/>
      <c r="P37" s="99"/>
      <c r="Q37" s="99"/>
      <c r="R37" s="99"/>
    </row>
    <row r="38" spans="1:18" ht="17.850000000000001" x14ac:dyDescent="0.4">
      <c r="A38" s="153" t="s">
        <v>37</v>
      </c>
      <c r="B38" s="154" t="s">
        <v>102</v>
      </c>
      <c r="C38" s="155" t="s">
        <v>123</v>
      </c>
      <c r="D38" s="169">
        <v>3</v>
      </c>
      <c r="E38" s="157" t="s">
        <v>11</v>
      </c>
      <c r="F38" s="99"/>
      <c r="H38" s="99"/>
      <c r="I38" s="99"/>
      <c r="J38" s="99"/>
      <c r="K38" s="99"/>
      <c r="L38" s="99"/>
      <c r="M38" s="99"/>
      <c r="N38" s="99"/>
      <c r="O38" s="99"/>
      <c r="P38" s="99"/>
      <c r="Q38" s="99"/>
      <c r="R38" s="99"/>
    </row>
    <row r="39" spans="1:18" ht="18" customHeight="1" x14ac:dyDescent="0.3">
      <c r="A39" s="170" t="s">
        <v>38</v>
      </c>
      <c r="B39" s="148" t="s">
        <v>126</v>
      </c>
      <c r="C39" s="147" t="s">
        <v>22</v>
      </c>
      <c r="D39" s="159">
        <f>+D40/D$13</f>
        <v>22.358470534667116</v>
      </c>
      <c r="E39" s="160" t="s">
        <v>124</v>
      </c>
      <c r="F39" s="99"/>
      <c r="G39" s="99"/>
      <c r="H39" s="99"/>
      <c r="I39" s="99"/>
      <c r="J39" s="99"/>
      <c r="K39" s="99"/>
      <c r="L39" s="99"/>
      <c r="M39" s="99"/>
      <c r="N39" s="99"/>
      <c r="O39" s="99"/>
      <c r="P39" s="99"/>
      <c r="Q39" s="99"/>
      <c r="R39" s="99"/>
    </row>
    <row r="40" spans="1:18" ht="15.55" x14ac:dyDescent="0.3">
      <c r="A40" s="158"/>
      <c r="B40" s="148" t="s">
        <v>24</v>
      </c>
      <c r="C40" s="147" t="s">
        <v>23</v>
      </c>
      <c r="D40" s="159">
        <f>+(Intermediate!C$5*Intermediate!C9*D$13*D$14*D$15)/(D38*2*D$16)</f>
        <v>22.358470534667116</v>
      </c>
      <c r="E40" s="161" t="s">
        <v>6</v>
      </c>
      <c r="F40" s="99"/>
      <c r="G40" s="99"/>
      <c r="H40" s="99"/>
      <c r="I40" s="99"/>
      <c r="J40" s="99"/>
      <c r="K40" s="99"/>
      <c r="L40" s="99"/>
      <c r="M40" s="99"/>
      <c r="N40" s="99"/>
      <c r="O40" s="99"/>
      <c r="P40" s="99"/>
      <c r="Q40" s="99"/>
      <c r="R40" s="99"/>
    </row>
    <row r="41" spans="1:18" ht="16.149999999999999" thickBot="1" x14ac:dyDescent="0.35">
      <c r="A41" s="162"/>
      <c r="B41" s="163" t="s">
        <v>36</v>
      </c>
      <c r="C41" s="164" t="s">
        <v>127</v>
      </c>
      <c r="D41" s="171" t="s">
        <v>35</v>
      </c>
      <c r="E41" s="166" t="s">
        <v>6</v>
      </c>
      <c r="F41" s="99"/>
      <c r="I41" s="99"/>
      <c r="J41" s="99"/>
      <c r="K41" s="99"/>
      <c r="L41" s="99"/>
      <c r="M41" s="99"/>
      <c r="N41" s="99"/>
      <c r="O41" s="99"/>
      <c r="P41" s="99"/>
      <c r="Q41" s="99"/>
      <c r="R41" s="99"/>
    </row>
    <row r="42" spans="1:18" ht="15.55" x14ac:dyDescent="0.3">
      <c r="A42" s="99"/>
      <c r="B42" s="113"/>
      <c r="C42" s="117"/>
      <c r="D42" s="118"/>
      <c r="E42" s="99"/>
      <c r="F42" s="99"/>
      <c r="G42" s="143" t="s">
        <v>131</v>
      </c>
      <c r="I42" s="99"/>
      <c r="J42" s="99"/>
      <c r="K42" s="99"/>
      <c r="L42" s="99"/>
      <c r="M42" s="99"/>
      <c r="N42" s="99"/>
      <c r="O42" s="99"/>
      <c r="P42" s="99"/>
      <c r="Q42" s="99"/>
      <c r="R42" s="99"/>
    </row>
    <row r="43" spans="1:18" ht="15.55" x14ac:dyDescent="0.25">
      <c r="A43" s="138" t="s">
        <v>103</v>
      </c>
      <c r="B43" s="99"/>
      <c r="C43" s="119"/>
      <c r="D43" s="113"/>
      <c r="E43" s="99"/>
      <c r="F43" s="99"/>
      <c r="G43" s="99"/>
      <c r="H43" s="99"/>
      <c r="I43" s="99"/>
      <c r="J43" s="99"/>
      <c r="K43" s="99"/>
      <c r="L43" s="99"/>
      <c r="M43" s="99"/>
      <c r="N43" s="99"/>
      <c r="O43" s="99"/>
      <c r="P43" s="99"/>
      <c r="Q43" s="99"/>
      <c r="R43" s="99"/>
    </row>
    <row r="44" spans="1:18" x14ac:dyDescent="0.25">
      <c r="B44" s="2"/>
      <c r="C44" s="4"/>
      <c r="D44" s="3"/>
    </row>
    <row r="45" spans="1:18" x14ac:dyDescent="0.25">
      <c r="B45" s="2"/>
      <c r="C45" s="2"/>
      <c r="D45" s="2"/>
    </row>
    <row r="46" spans="1:18" x14ac:dyDescent="0.25">
      <c r="B46" s="2"/>
      <c r="C46" s="2"/>
      <c r="D46" s="2"/>
    </row>
    <row r="47" spans="1:18" x14ac:dyDescent="0.25">
      <c r="C47" s="2"/>
      <c r="D47" s="2"/>
    </row>
  </sheetData>
  <protectedRanges>
    <protectedRange password="CD8A" sqref="D38" name="Range2"/>
    <protectedRange password="CD8A" sqref="D9:D16" name="Range1"/>
  </protectedRanges>
  <pageMargins left="0.7" right="0.7" top="0.75" bottom="0.75" header="0.3" footer="0.3"/>
  <pageSetup orientation="portrait" r:id="rId1"/>
  <ignoredErrors>
    <ignoredError sqref="D19:D2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zoomScale="86" zoomScaleNormal="86" workbookViewId="0">
      <selection activeCell="D19" sqref="D19"/>
    </sheetView>
  </sheetViews>
  <sheetFormatPr defaultRowHeight="12.7" x14ac:dyDescent="0.25"/>
  <cols>
    <col min="1" max="1" width="13.88671875" customWidth="1"/>
    <col min="2" max="2" width="78.5546875" customWidth="1"/>
    <col min="3" max="3" width="15.6640625" customWidth="1"/>
    <col min="4" max="4" width="7.33203125" customWidth="1"/>
    <col min="5" max="5" width="12.88671875" customWidth="1"/>
    <col min="6" max="6" width="12.33203125" customWidth="1"/>
  </cols>
  <sheetData>
    <row r="1" spans="1:23" ht="15.7" customHeight="1" x14ac:dyDescent="0.25">
      <c r="A1" s="172" t="s">
        <v>40</v>
      </c>
      <c r="C1" s="1"/>
      <c r="D1" s="1"/>
      <c r="E1" s="1"/>
      <c r="F1" s="1"/>
      <c r="G1" s="1"/>
      <c r="K1" s="27"/>
      <c r="L1" s="27"/>
      <c r="M1" s="27"/>
      <c r="N1" s="27"/>
      <c r="O1" s="27"/>
      <c r="P1" s="27"/>
      <c r="Q1" s="27"/>
    </row>
    <row r="2" spans="1:23" ht="13.55" customHeight="1" thickBot="1" x14ac:dyDescent="0.3">
      <c r="A2" s="17"/>
      <c r="C2" s="1"/>
      <c r="D2" s="1"/>
      <c r="E2" s="1"/>
      <c r="F2" s="1"/>
      <c r="G2" s="1"/>
      <c r="K2" s="27"/>
      <c r="L2" s="27"/>
      <c r="M2" s="27"/>
      <c r="N2" s="27"/>
      <c r="O2" s="27"/>
      <c r="P2" s="27"/>
      <c r="Q2" s="27"/>
    </row>
    <row r="3" spans="1:23" ht="15.7" customHeight="1" x14ac:dyDescent="0.3">
      <c r="A3" s="100"/>
      <c r="B3" s="153" t="s">
        <v>70</v>
      </c>
      <c r="C3" s="102"/>
      <c r="D3" s="102"/>
      <c r="E3" s="102"/>
      <c r="F3" s="102"/>
      <c r="G3" s="102"/>
      <c r="H3" s="102"/>
      <c r="I3" s="102"/>
      <c r="J3" s="103"/>
      <c r="K3" s="104"/>
      <c r="L3" s="104"/>
      <c r="M3" s="104"/>
      <c r="N3" s="104"/>
      <c r="O3" s="104"/>
      <c r="P3" s="104"/>
      <c r="Q3" s="104"/>
      <c r="R3" s="99"/>
      <c r="S3" s="99"/>
      <c r="T3" s="99"/>
    </row>
    <row r="4" spans="1:23" ht="15.7" customHeight="1" x14ac:dyDescent="0.25">
      <c r="A4" s="100"/>
      <c r="B4" s="141" t="s">
        <v>129</v>
      </c>
      <c r="C4" s="104"/>
      <c r="D4" s="104"/>
      <c r="E4" s="104"/>
      <c r="F4" s="104"/>
      <c r="G4" s="104"/>
      <c r="H4" s="104"/>
      <c r="I4" s="104"/>
      <c r="J4" s="105"/>
      <c r="K4" s="104"/>
      <c r="L4" s="104"/>
      <c r="M4" s="104"/>
      <c r="N4" s="104"/>
      <c r="O4" s="104"/>
      <c r="P4" s="104"/>
      <c r="Q4" s="104"/>
      <c r="R4" s="99"/>
      <c r="S4" s="99"/>
      <c r="T4" s="99"/>
    </row>
    <row r="5" spans="1:23" ht="15.7" customHeight="1" x14ac:dyDescent="0.25">
      <c r="A5" s="100"/>
      <c r="B5" s="141" t="s">
        <v>130</v>
      </c>
      <c r="C5" s="104"/>
      <c r="D5" s="104"/>
      <c r="E5" s="104"/>
      <c r="F5" s="104"/>
      <c r="G5" s="104"/>
      <c r="H5" s="104"/>
      <c r="I5" s="104"/>
      <c r="J5" s="105"/>
      <c r="K5" s="104"/>
      <c r="L5" s="104"/>
      <c r="M5" s="104"/>
      <c r="N5" s="104"/>
      <c r="O5" s="104"/>
      <c r="P5" s="104"/>
      <c r="Q5" s="104"/>
      <c r="R5" s="104"/>
      <c r="S5" s="104"/>
      <c r="T5" s="104"/>
      <c r="U5" s="27"/>
      <c r="V5" s="27"/>
      <c r="W5" s="27"/>
    </row>
    <row r="6" spans="1:23" ht="15" customHeight="1" thickBot="1" x14ac:dyDescent="0.35">
      <c r="A6" s="99"/>
      <c r="B6" s="162" t="s">
        <v>100</v>
      </c>
      <c r="C6" s="106"/>
      <c r="D6" s="106"/>
      <c r="E6" s="106"/>
      <c r="F6" s="106"/>
      <c r="G6" s="106"/>
      <c r="H6" s="106"/>
      <c r="I6" s="106"/>
      <c r="J6" s="107"/>
      <c r="K6" s="104"/>
      <c r="L6" s="104"/>
      <c r="M6" s="104"/>
      <c r="N6" s="104"/>
      <c r="O6" s="104"/>
      <c r="P6" s="104"/>
      <c r="Q6" s="104"/>
      <c r="R6" s="99"/>
      <c r="S6" s="99"/>
      <c r="T6" s="99"/>
    </row>
    <row r="7" spans="1:23" ht="13.55" customHeight="1" x14ac:dyDescent="0.25">
      <c r="A7" s="99"/>
      <c r="B7" s="104"/>
      <c r="C7" s="104"/>
      <c r="D7" s="104"/>
      <c r="E7" s="104"/>
      <c r="F7" s="104"/>
      <c r="G7" s="104"/>
      <c r="H7" s="104"/>
      <c r="I7" s="104"/>
      <c r="J7" s="104"/>
      <c r="K7" s="104"/>
      <c r="L7" s="104"/>
      <c r="M7" s="104"/>
      <c r="N7" s="104"/>
      <c r="O7" s="104"/>
      <c r="P7" s="104"/>
      <c r="Q7" s="104"/>
      <c r="R7" s="99"/>
      <c r="S7" s="99"/>
      <c r="T7" s="99"/>
    </row>
    <row r="8" spans="1:23" s="143" customFormat="1" ht="15.55" x14ac:dyDescent="0.3">
      <c r="A8" s="146"/>
      <c r="B8" s="144" t="s">
        <v>13</v>
      </c>
      <c r="C8" s="144" t="s">
        <v>15</v>
      </c>
      <c r="D8" s="145" t="s">
        <v>16</v>
      </c>
      <c r="E8" s="144" t="s">
        <v>17</v>
      </c>
      <c r="F8" s="144" t="s">
        <v>14</v>
      </c>
    </row>
    <row r="9" spans="1:23" s="143" customFormat="1" ht="15.55" x14ac:dyDescent="0.3">
      <c r="A9" s="146"/>
      <c r="B9" s="146" t="s">
        <v>94</v>
      </c>
      <c r="C9" s="146"/>
      <c r="D9" s="149">
        <v>20</v>
      </c>
      <c r="E9" s="146" t="s">
        <v>2</v>
      </c>
      <c r="F9" s="146"/>
    </row>
    <row r="10" spans="1:23" s="143" customFormat="1" ht="15.55" x14ac:dyDescent="0.3">
      <c r="A10" s="146"/>
      <c r="B10" s="147" t="s">
        <v>121</v>
      </c>
      <c r="C10" s="146"/>
      <c r="D10" s="149">
        <v>30</v>
      </c>
      <c r="E10" s="146" t="s">
        <v>2</v>
      </c>
      <c r="F10" s="146"/>
    </row>
    <row r="11" spans="1:23" s="143" customFormat="1" ht="15.55" x14ac:dyDescent="0.3">
      <c r="A11" s="146"/>
      <c r="B11" s="146" t="s">
        <v>57</v>
      </c>
      <c r="C11" s="146" t="s">
        <v>0</v>
      </c>
      <c r="D11" s="149">
        <v>120</v>
      </c>
      <c r="E11" s="147" t="s">
        <v>5</v>
      </c>
      <c r="F11" s="138" t="s">
        <v>112</v>
      </c>
    </row>
    <row r="12" spans="1:23" s="143" customFormat="1" ht="15.55" x14ac:dyDescent="0.3">
      <c r="A12" s="146"/>
      <c r="B12" s="146" t="s">
        <v>91</v>
      </c>
      <c r="C12" s="146"/>
      <c r="D12" s="149">
        <v>50</v>
      </c>
      <c r="E12" s="147" t="s">
        <v>2</v>
      </c>
      <c r="F12" s="138"/>
    </row>
    <row r="13" spans="1:23" s="143" customFormat="1" ht="15.55" x14ac:dyDescent="0.3">
      <c r="A13" s="146"/>
      <c r="B13" s="147" t="s">
        <v>110</v>
      </c>
      <c r="C13" s="146"/>
      <c r="D13" s="149">
        <v>60</v>
      </c>
      <c r="E13" s="147" t="s">
        <v>2</v>
      </c>
      <c r="F13" s="138"/>
    </row>
    <row r="14" spans="1:23" s="143" customFormat="1" ht="15.55" x14ac:dyDescent="0.3">
      <c r="A14" s="146"/>
      <c r="B14" s="147" t="s">
        <v>111</v>
      </c>
      <c r="C14" s="146"/>
      <c r="D14" s="149">
        <v>40</v>
      </c>
      <c r="E14" s="147" t="s">
        <v>2</v>
      </c>
      <c r="F14" s="138"/>
    </row>
    <row r="15" spans="1:23" s="143" customFormat="1" ht="15.55" x14ac:dyDescent="0.3">
      <c r="A15" s="146"/>
      <c r="B15" s="146" t="s">
        <v>92</v>
      </c>
      <c r="C15" s="146"/>
      <c r="D15" s="149">
        <v>21</v>
      </c>
      <c r="E15" s="146" t="s">
        <v>119</v>
      </c>
      <c r="F15" s="190"/>
    </row>
    <row r="16" spans="1:23" s="143" customFormat="1" ht="15" customHeight="1" x14ac:dyDescent="0.3">
      <c r="A16" s="146"/>
      <c r="B16" s="147" t="s">
        <v>8</v>
      </c>
      <c r="C16" s="146" t="s">
        <v>20</v>
      </c>
      <c r="D16" s="150">
        <v>1</v>
      </c>
      <c r="E16" s="147" t="s">
        <v>122</v>
      </c>
      <c r="F16" s="138" t="s">
        <v>104</v>
      </c>
    </row>
    <row r="17" spans="1:20" s="143" customFormat="1" ht="15.55" x14ac:dyDescent="0.3">
      <c r="A17" s="146"/>
      <c r="B17" s="146" t="s">
        <v>10</v>
      </c>
      <c r="C17" s="146" t="s">
        <v>21</v>
      </c>
      <c r="D17" s="150">
        <v>1</v>
      </c>
      <c r="E17" s="147" t="s">
        <v>9</v>
      </c>
      <c r="F17" s="138" t="s">
        <v>105</v>
      </c>
    </row>
    <row r="18" spans="1:20" ht="14.4" thickBot="1" x14ac:dyDescent="0.3">
      <c r="A18" s="99"/>
      <c r="B18" s="99"/>
      <c r="C18" s="125"/>
      <c r="D18" s="121" t="s">
        <v>1</v>
      </c>
      <c r="E18" s="104"/>
      <c r="F18" s="99"/>
      <c r="G18" s="99"/>
      <c r="H18" s="99"/>
      <c r="I18" s="99"/>
      <c r="J18" s="99"/>
      <c r="K18" s="99"/>
      <c r="L18" s="99"/>
      <c r="M18" s="99"/>
      <c r="N18" s="99"/>
      <c r="O18" s="99"/>
      <c r="P18" s="99"/>
      <c r="Q18" s="99"/>
      <c r="R18" s="99"/>
      <c r="S18" s="99"/>
      <c r="T18" s="99"/>
    </row>
    <row r="19" spans="1:20" s="143" customFormat="1" ht="17.850000000000001" x14ac:dyDescent="0.4">
      <c r="A19" s="153" t="s">
        <v>107</v>
      </c>
      <c r="B19" s="154" t="s">
        <v>101</v>
      </c>
      <c r="C19" s="155" t="s">
        <v>123</v>
      </c>
      <c r="D19" s="173">
        <v>4.4800000000000004</v>
      </c>
      <c r="E19" s="157" t="s">
        <v>11</v>
      </c>
    </row>
    <row r="20" spans="1:20" s="143" customFormat="1" ht="17.850000000000001" x14ac:dyDescent="0.3">
      <c r="A20" s="158"/>
      <c r="B20" s="148" t="s">
        <v>126</v>
      </c>
      <c r="C20" s="147" t="s">
        <v>22</v>
      </c>
      <c r="D20" s="174">
        <f>+D21/D$16</f>
        <v>7.3633721754978048</v>
      </c>
      <c r="E20" s="160" t="s">
        <v>124</v>
      </c>
    </row>
    <row r="21" spans="1:20" s="143" customFormat="1" ht="15.55" x14ac:dyDescent="0.3">
      <c r="A21" s="158" t="s">
        <v>1</v>
      </c>
      <c r="B21" s="148" t="s">
        <v>24</v>
      </c>
      <c r="C21" s="147" t="s">
        <v>23</v>
      </c>
      <c r="D21" s="175">
        <f>+(Intermediate!C$19*Intermediate!C$17*D$16*D$17*D$11)/(D19*2*Intermediate!C$18)</f>
        <v>7.3633721754978048</v>
      </c>
      <c r="E21" s="161" t="s">
        <v>6</v>
      </c>
    </row>
    <row r="22" spans="1:20" s="143" customFormat="1" ht="16.149999999999999" thickBot="1" x14ac:dyDescent="0.35">
      <c r="A22" s="162"/>
      <c r="B22" s="163" t="s">
        <v>12</v>
      </c>
      <c r="C22" s="164" t="s">
        <v>127</v>
      </c>
      <c r="D22" s="176">
        <f>D21+D21*((-13.643+13.678*EXP(-D$9/-47.773))/100)</f>
        <v>7.8895759231817983</v>
      </c>
      <c r="E22" s="166" t="s">
        <v>6</v>
      </c>
    </row>
    <row r="23" spans="1:20" ht="14.4" thickBot="1" x14ac:dyDescent="0.3">
      <c r="A23" s="104"/>
      <c r="B23" s="109"/>
      <c r="C23" s="113"/>
      <c r="D23" s="126"/>
      <c r="E23" s="99"/>
      <c r="F23" s="99"/>
      <c r="G23" s="99"/>
      <c r="H23" s="99"/>
      <c r="I23" s="99"/>
      <c r="J23" s="99"/>
      <c r="K23" s="99"/>
      <c r="L23" s="99"/>
      <c r="M23" s="99"/>
      <c r="N23" s="99"/>
      <c r="O23" s="99"/>
      <c r="P23" s="99"/>
      <c r="Q23" s="99"/>
      <c r="R23" s="99"/>
      <c r="S23" s="99"/>
      <c r="T23" s="99"/>
    </row>
    <row r="24" spans="1:20" s="143" customFormat="1" ht="17.850000000000001" x14ac:dyDescent="0.4">
      <c r="A24" s="153" t="s">
        <v>108</v>
      </c>
      <c r="B24" s="154" t="s">
        <v>101</v>
      </c>
      <c r="C24" s="155" t="s">
        <v>123</v>
      </c>
      <c r="D24" s="173">
        <v>4.37</v>
      </c>
      <c r="E24" s="157" t="s">
        <v>11</v>
      </c>
    </row>
    <row r="25" spans="1:20" s="143" customFormat="1" ht="17.850000000000001" x14ac:dyDescent="0.3">
      <c r="A25" s="158"/>
      <c r="B25" s="148" t="s">
        <v>126</v>
      </c>
      <c r="C25" s="147" t="s">
        <v>22</v>
      </c>
      <c r="D25" s="174">
        <f>+D26/D$16</f>
        <v>7.5487202165286416</v>
      </c>
      <c r="E25" s="160" t="s">
        <v>124</v>
      </c>
    </row>
    <row r="26" spans="1:20" s="143" customFormat="1" ht="15.55" x14ac:dyDescent="0.3">
      <c r="A26" s="158" t="s">
        <v>1</v>
      </c>
      <c r="B26" s="148" t="s">
        <v>24</v>
      </c>
      <c r="C26" s="147" t="s">
        <v>23</v>
      </c>
      <c r="D26" s="175">
        <f>+(Intermediate!C$19*Intermediate!C$17*D$16*D$17*D$11)/(D24*2*Intermediate!C$18)</f>
        <v>7.5487202165286416</v>
      </c>
      <c r="E26" s="161" t="s">
        <v>6</v>
      </c>
    </row>
    <row r="27" spans="1:20" s="143" customFormat="1" ht="16.149999999999999" thickBot="1" x14ac:dyDescent="0.35">
      <c r="A27" s="162"/>
      <c r="B27" s="163" t="s">
        <v>12</v>
      </c>
      <c r="C27" s="164" t="s">
        <v>127</v>
      </c>
      <c r="D27" s="176">
        <f>D26+(D26 *(0.22358*D$9^1.2686)/100)</f>
        <v>8.3034525107889348</v>
      </c>
      <c r="E27" s="166" t="s">
        <v>6</v>
      </c>
    </row>
    <row r="28" spans="1:20" ht="14.4" thickBot="1" x14ac:dyDescent="0.3">
      <c r="A28" s="104"/>
      <c r="B28" s="109"/>
      <c r="C28" s="113"/>
      <c r="D28" s="113"/>
      <c r="E28" s="99"/>
      <c r="F28" s="99"/>
      <c r="G28" s="99"/>
      <c r="H28" s="99"/>
      <c r="I28" s="99"/>
      <c r="J28" s="99"/>
      <c r="K28" s="99"/>
      <c r="L28" s="99"/>
      <c r="M28" s="99"/>
      <c r="N28" s="99"/>
      <c r="O28" s="99"/>
      <c r="P28" s="99"/>
      <c r="Q28" s="99"/>
      <c r="R28" s="99"/>
      <c r="S28" s="99"/>
      <c r="T28" s="99"/>
    </row>
    <row r="29" spans="1:20" s="143" customFormat="1" ht="17.850000000000001" x14ac:dyDescent="0.4">
      <c r="A29" s="153" t="s">
        <v>125</v>
      </c>
      <c r="B29" s="154" t="s">
        <v>101</v>
      </c>
      <c r="C29" s="155" t="s">
        <v>123</v>
      </c>
      <c r="D29" s="173">
        <v>2.84</v>
      </c>
      <c r="E29" s="157" t="s">
        <v>11</v>
      </c>
    </row>
    <row r="30" spans="1:20" s="143" customFormat="1" ht="17.850000000000001" x14ac:dyDescent="0.3">
      <c r="A30" s="158"/>
      <c r="B30" s="148" t="s">
        <v>126</v>
      </c>
      <c r="C30" s="147" t="s">
        <v>22</v>
      </c>
      <c r="D30" s="174">
        <f>+D31/D$16</f>
        <v>11.615460333179637</v>
      </c>
      <c r="E30" s="160" t="s">
        <v>124</v>
      </c>
    </row>
    <row r="31" spans="1:20" s="143" customFormat="1" ht="15.55" x14ac:dyDescent="0.3">
      <c r="A31" s="158" t="s">
        <v>1</v>
      </c>
      <c r="B31" s="148" t="s">
        <v>24</v>
      </c>
      <c r="C31" s="147" t="s">
        <v>23</v>
      </c>
      <c r="D31" s="175">
        <f>+(Intermediate!C$19*Intermediate!C$17*D$16*D$17*D$11)/(D29*2*Intermediate!C$18)</f>
        <v>11.615460333179637</v>
      </c>
      <c r="E31" s="161" t="s">
        <v>6</v>
      </c>
    </row>
    <row r="32" spans="1:20" s="143" customFormat="1" ht="16.149999999999999" thickBot="1" x14ac:dyDescent="0.35">
      <c r="A32" s="162"/>
      <c r="B32" s="163" t="s">
        <v>12</v>
      </c>
      <c r="C32" s="164" t="s">
        <v>127</v>
      </c>
      <c r="D32" s="176">
        <f>D31+D31 *(0.382*D$9/100)</f>
        <v>12.502881502634562</v>
      </c>
      <c r="E32" s="166" t="s">
        <v>6</v>
      </c>
    </row>
    <row r="33" spans="1:20" ht="14.4" thickBot="1" x14ac:dyDescent="0.3">
      <c r="A33" s="104"/>
      <c r="B33" s="109"/>
      <c r="C33" s="111"/>
      <c r="D33" s="112"/>
      <c r="E33" s="99"/>
      <c r="F33" s="99"/>
      <c r="G33" s="99"/>
      <c r="H33" s="99"/>
      <c r="I33" s="99"/>
      <c r="J33" s="99"/>
      <c r="K33" s="99"/>
      <c r="L33" s="99"/>
      <c r="M33" s="99"/>
      <c r="N33" s="99"/>
      <c r="O33" s="99"/>
      <c r="P33" s="99"/>
      <c r="Q33" s="99"/>
      <c r="R33" s="99"/>
      <c r="S33" s="99"/>
      <c r="T33" s="99"/>
    </row>
    <row r="34" spans="1:20" s="143" customFormat="1" ht="18" customHeight="1" x14ac:dyDescent="0.4">
      <c r="A34" s="167" t="s">
        <v>109</v>
      </c>
      <c r="B34" s="154" t="s">
        <v>101</v>
      </c>
      <c r="C34" s="155" t="s">
        <v>123</v>
      </c>
      <c r="D34" s="173">
        <v>5.48</v>
      </c>
      <c r="E34" s="157" t="s">
        <v>11</v>
      </c>
    </row>
    <row r="35" spans="1:20" s="143" customFormat="1" ht="17.850000000000001" x14ac:dyDescent="0.3">
      <c r="A35" s="168" t="s">
        <v>113</v>
      </c>
      <c r="B35" s="148" t="s">
        <v>126</v>
      </c>
      <c r="C35" s="147" t="s">
        <v>22</v>
      </c>
      <c r="D35" s="174">
        <f>+D36/D$16</f>
        <v>6.0196911215748479</v>
      </c>
      <c r="E35" s="160" t="s">
        <v>124</v>
      </c>
    </row>
    <row r="36" spans="1:20" s="143" customFormat="1" ht="15.55" x14ac:dyDescent="0.3">
      <c r="A36" s="168"/>
      <c r="B36" s="148" t="s">
        <v>24</v>
      </c>
      <c r="C36" s="147" t="s">
        <v>23</v>
      </c>
      <c r="D36" s="175">
        <f>+(Intermediate!C$19*Intermediate!C$17*D$16*D$17*D$11)/(D34*2*Intermediate!C$18)</f>
        <v>6.0196911215748479</v>
      </c>
      <c r="E36" s="161" t="s">
        <v>6</v>
      </c>
    </row>
    <row r="37" spans="1:20" s="143" customFormat="1" ht="16.149999999999999" thickBot="1" x14ac:dyDescent="0.35">
      <c r="A37" s="162"/>
      <c r="B37" s="163" t="s">
        <v>12</v>
      </c>
      <c r="C37" s="164" t="s">
        <v>127</v>
      </c>
      <c r="D37" s="176">
        <f>D36+D36 *(0.529*D$9/100)</f>
        <v>6.6565744422374671</v>
      </c>
      <c r="E37" s="166" t="s">
        <v>6</v>
      </c>
    </row>
    <row r="38" spans="1:20" ht="14.4" thickBot="1" x14ac:dyDescent="0.3">
      <c r="A38" s="108" t="s">
        <v>1</v>
      </c>
      <c r="B38" s="113"/>
      <c r="C38" s="113"/>
      <c r="D38" s="113"/>
      <c r="E38" s="99"/>
      <c r="F38" s="99"/>
      <c r="G38" s="99"/>
      <c r="H38" s="99"/>
      <c r="I38" s="99"/>
      <c r="J38" s="99"/>
      <c r="K38" s="99"/>
      <c r="L38" s="99"/>
      <c r="M38" s="99"/>
      <c r="N38" s="99"/>
      <c r="O38" s="99"/>
      <c r="P38" s="99"/>
      <c r="Q38" s="99"/>
      <c r="R38" s="99"/>
      <c r="S38" s="99"/>
      <c r="T38" s="99"/>
    </row>
    <row r="39" spans="1:20" s="143" customFormat="1" ht="18" customHeight="1" x14ac:dyDescent="0.4">
      <c r="A39" s="153" t="s">
        <v>37</v>
      </c>
      <c r="B39" s="154" t="s">
        <v>102</v>
      </c>
      <c r="C39" s="155" t="s">
        <v>123</v>
      </c>
      <c r="D39" s="169">
        <v>3</v>
      </c>
      <c r="E39" s="157" t="s">
        <v>11</v>
      </c>
    </row>
    <row r="40" spans="1:20" s="143" customFormat="1" ht="18" customHeight="1" x14ac:dyDescent="0.3">
      <c r="A40" s="170" t="s">
        <v>38</v>
      </c>
      <c r="B40" s="148" t="s">
        <v>126</v>
      </c>
      <c r="C40" s="147" t="s">
        <v>22</v>
      </c>
      <c r="D40" s="174">
        <f>+D41/D$16</f>
        <v>10.995969115410055</v>
      </c>
      <c r="E40" s="160" t="s">
        <v>124</v>
      </c>
    </row>
    <row r="41" spans="1:20" s="143" customFormat="1" ht="15.55" x14ac:dyDescent="0.3">
      <c r="A41" s="158"/>
      <c r="B41" s="148" t="s">
        <v>24</v>
      </c>
      <c r="C41" s="147" t="s">
        <v>23</v>
      </c>
      <c r="D41" s="175">
        <f>+(Intermediate!C$19*Intermediate!C$17*D$16*D$17*D$11)/(D39*2*Intermediate!C$18)</f>
        <v>10.995969115410055</v>
      </c>
      <c r="E41" s="161" t="s">
        <v>6</v>
      </c>
    </row>
    <row r="42" spans="1:20" s="143" customFormat="1" ht="16.149999999999999" thickBot="1" x14ac:dyDescent="0.35">
      <c r="A42" s="162"/>
      <c r="B42" s="163" t="s">
        <v>36</v>
      </c>
      <c r="C42" s="164" t="s">
        <v>127</v>
      </c>
      <c r="D42" s="177" t="s">
        <v>35</v>
      </c>
      <c r="E42" s="166" t="s">
        <v>6</v>
      </c>
    </row>
    <row r="43" spans="1:20" ht="15.55" x14ac:dyDescent="0.3">
      <c r="A43" s="99"/>
      <c r="B43" s="113"/>
      <c r="C43" s="117"/>
      <c r="D43" s="118"/>
      <c r="E43" s="99"/>
      <c r="F43" s="99"/>
      <c r="G43" s="143" t="s">
        <v>132</v>
      </c>
      <c r="H43" s="99"/>
      <c r="I43" s="99"/>
      <c r="J43" s="99"/>
      <c r="K43" s="99"/>
      <c r="L43" s="99"/>
      <c r="M43" s="99"/>
      <c r="N43" s="99"/>
      <c r="O43" s="99"/>
      <c r="P43" s="99"/>
      <c r="R43" s="143" t="s">
        <v>93</v>
      </c>
      <c r="S43" s="99"/>
      <c r="T43" s="99"/>
    </row>
    <row r="44" spans="1:20" s="143" customFormat="1" ht="15.55" x14ac:dyDescent="0.3">
      <c r="A44" s="138" t="s">
        <v>103</v>
      </c>
      <c r="B44" s="147"/>
      <c r="C44" s="178"/>
      <c r="D44" s="179"/>
    </row>
    <row r="46" spans="1:20" x14ac:dyDescent="0.25">
      <c r="B46" s="21"/>
    </row>
  </sheetData>
  <sheetProtection password="CD8A" sheet="1"/>
  <protectedRanges>
    <protectedRange password="CD8A" sqref="D39" name="Range2"/>
    <protectedRange password="CD8A" sqref="D9:D17" name="Range1"/>
  </protectedRange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opLeftCell="A5" zoomScale="90" zoomScaleNormal="90" workbookViewId="0"/>
  </sheetViews>
  <sheetFormatPr defaultRowHeight="12.7" x14ac:dyDescent="0.25"/>
  <cols>
    <col min="1" max="1" width="13.33203125" customWidth="1"/>
    <col min="2" max="2" width="74.6640625" customWidth="1"/>
    <col min="3" max="3" width="16.33203125" customWidth="1"/>
    <col min="4" max="4" width="7.5546875" customWidth="1"/>
    <col min="5" max="5" width="12.109375" customWidth="1"/>
    <col min="6" max="6" width="12.6640625" customWidth="1"/>
    <col min="7" max="9" width="9.109375" customWidth="1"/>
    <col min="10" max="10" width="11.44140625" customWidth="1"/>
    <col min="11" max="16" width="9.109375" customWidth="1"/>
    <col min="17" max="17" width="13" customWidth="1"/>
    <col min="18" max="20" width="9.109375" customWidth="1"/>
    <col min="21" max="21" width="10.33203125" customWidth="1"/>
    <col min="22" max="23" width="9.109375" customWidth="1"/>
    <col min="24" max="24" width="7.33203125" customWidth="1"/>
    <col min="25" max="25" width="12.88671875" customWidth="1"/>
  </cols>
  <sheetData>
    <row r="1" spans="1:23" ht="16.600000000000001" customHeight="1" x14ac:dyDescent="0.25">
      <c r="A1" s="72" t="s">
        <v>39</v>
      </c>
      <c r="B1" s="99"/>
      <c r="C1" s="113"/>
      <c r="D1" s="113"/>
      <c r="E1" s="113"/>
      <c r="F1" s="113"/>
      <c r="G1" s="99"/>
      <c r="H1" s="99"/>
      <c r="I1" s="99"/>
      <c r="J1" s="99"/>
      <c r="K1" s="99"/>
      <c r="L1" s="99"/>
      <c r="M1" s="99"/>
      <c r="N1" s="99"/>
      <c r="O1" s="99"/>
      <c r="P1" s="99"/>
      <c r="Q1" s="99"/>
      <c r="R1" s="99"/>
    </row>
    <row r="2" spans="1:23" ht="16.600000000000001" customHeight="1" thickBot="1" x14ac:dyDescent="0.3">
      <c r="A2" s="100"/>
      <c r="B2" s="99"/>
      <c r="C2" s="113"/>
      <c r="D2" s="113"/>
      <c r="E2" s="113"/>
      <c r="F2" s="113"/>
      <c r="G2" s="99"/>
      <c r="H2" s="99"/>
      <c r="I2" s="99"/>
      <c r="J2" s="99"/>
      <c r="K2" s="99"/>
      <c r="L2" s="99"/>
      <c r="M2" s="99"/>
      <c r="N2" s="99"/>
      <c r="O2" s="99"/>
      <c r="P2" s="99"/>
      <c r="Q2" s="99"/>
      <c r="R2" s="99"/>
    </row>
    <row r="3" spans="1:23" ht="18.75" customHeight="1" x14ac:dyDescent="0.25">
      <c r="A3" s="100"/>
      <c r="B3" s="140" t="s">
        <v>70</v>
      </c>
      <c r="C3" s="102"/>
      <c r="D3" s="102"/>
      <c r="E3" s="102"/>
      <c r="F3" s="102"/>
      <c r="G3" s="102"/>
      <c r="H3" s="102"/>
      <c r="I3" s="102"/>
      <c r="J3" s="103"/>
      <c r="K3" s="104"/>
      <c r="L3" s="104"/>
      <c r="M3" s="99"/>
      <c r="N3" s="99"/>
      <c r="O3" s="99"/>
      <c r="P3" s="99"/>
      <c r="Q3" s="99"/>
      <c r="R3" s="99"/>
    </row>
    <row r="4" spans="1:23" ht="16.600000000000001" customHeight="1" x14ac:dyDescent="0.25">
      <c r="A4" s="100"/>
      <c r="B4" s="141" t="s">
        <v>129</v>
      </c>
      <c r="C4" s="104"/>
      <c r="D4" s="104"/>
      <c r="E4" s="104"/>
      <c r="F4" s="104"/>
      <c r="G4" s="104"/>
      <c r="H4" s="104"/>
      <c r="I4" s="104"/>
      <c r="J4" s="105"/>
      <c r="K4" s="104"/>
      <c r="L4" s="104"/>
      <c r="M4" s="99"/>
      <c r="N4" s="99"/>
      <c r="O4" s="99"/>
      <c r="P4" s="99"/>
      <c r="Q4" s="99"/>
      <c r="R4" s="99"/>
    </row>
    <row r="5" spans="1:23" ht="18" customHeight="1" x14ac:dyDescent="0.25">
      <c r="A5" s="99"/>
      <c r="B5" s="141" t="s">
        <v>130</v>
      </c>
      <c r="C5" s="104"/>
      <c r="D5" s="104"/>
      <c r="E5" s="104"/>
      <c r="F5" s="104"/>
      <c r="G5" s="104"/>
      <c r="H5" s="104"/>
      <c r="I5" s="104"/>
      <c r="J5" s="105"/>
      <c r="K5" s="104"/>
      <c r="L5" s="104"/>
      <c r="M5" s="99"/>
      <c r="N5" s="99"/>
      <c r="O5" s="99"/>
      <c r="P5" s="99"/>
      <c r="Q5" s="99"/>
      <c r="R5" s="99"/>
    </row>
    <row r="6" spans="1:23" ht="18" customHeight="1" thickBot="1" x14ac:dyDescent="0.3">
      <c r="A6" s="99"/>
      <c r="B6" s="142" t="s">
        <v>100</v>
      </c>
      <c r="C6" s="106"/>
      <c r="D6" s="106"/>
      <c r="E6" s="106"/>
      <c r="F6" s="106"/>
      <c r="G6" s="106"/>
      <c r="H6" s="106"/>
      <c r="I6" s="106"/>
      <c r="J6" s="107"/>
      <c r="K6" s="104"/>
      <c r="L6" s="104"/>
      <c r="M6" s="99"/>
      <c r="N6" s="99"/>
      <c r="O6" s="99"/>
      <c r="P6" s="99"/>
      <c r="Q6" s="99"/>
      <c r="R6" s="99"/>
    </row>
    <row r="7" spans="1:23" ht="15" customHeight="1" x14ac:dyDescent="0.25">
      <c r="A7" s="99"/>
      <c r="B7" s="99"/>
      <c r="C7" s="99"/>
      <c r="D7" s="99"/>
      <c r="E7" s="99"/>
      <c r="F7" s="99"/>
      <c r="G7" s="99"/>
      <c r="H7" s="99"/>
      <c r="I7" s="99"/>
      <c r="J7" s="99"/>
      <c r="K7" s="99"/>
      <c r="L7" s="99"/>
      <c r="M7" s="99"/>
      <c r="N7" s="99"/>
      <c r="O7" s="99"/>
      <c r="P7" s="99"/>
      <c r="Q7" s="99"/>
      <c r="R7" s="99"/>
    </row>
    <row r="8" spans="1:23" s="143" customFormat="1" ht="15.55" x14ac:dyDescent="0.3">
      <c r="A8" s="146"/>
      <c r="B8" s="144" t="s">
        <v>13</v>
      </c>
      <c r="C8" s="180" t="s">
        <v>15</v>
      </c>
      <c r="D8" s="145" t="s">
        <v>16</v>
      </c>
      <c r="E8" s="144" t="s">
        <v>17</v>
      </c>
      <c r="F8" s="144" t="s">
        <v>14</v>
      </c>
    </row>
    <row r="9" spans="1:23" s="143" customFormat="1" ht="15.55" x14ac:dyDescent="0.3">
      <c r="A9" s="146"/>
      <c r="B9" s="146" t="s">
        <v>95</v>
      </c>
      <c r="C9" s="146"/>
      <c r="D9" s="149">
        <v>60</v>
      </c>
      <c r="E9" s="146" t="s">
        <v>2</v>
      </c>
      <c r="F9" s="146"/>
    </row>
    <row r="10" spans="1:23" s="143" customFormat="1" ht="15.55" x14ac:dyDescent="0.3">
      <c r="A10" s="146"/>
      <c r="B10" s="147" t="s">
        <v>114</v>
      </c>
      <c r="C10" s="146"/>
      <c r="D10" s="181">
        <v>50</v>
      </c>
      <c r="E10" s="146" t="s">
        <v>2</v>
      </c>
      <c r="F10" s="146"/>
    </row>
    <row r="11" spans="1:23" s="143" customFormat="1" ht="15.55" x14ac:dyDescent="0.3">
      <c r="A11" s="146"/>
      <c r="B11" s="148" t="s">
        <v>57</v>
      </c>
      <c r="C11" s="146" t="s">
        <v>0</v>
      </c>
      <c r="D11" s="149">
        <v>120</v>
      </c>
      <c r="E11" s="147" t="s">
        <v>5</v>
      </c>
      <c r="F11" s="138" t="s">
        <v>115</v>
      </c>
    </row>
    <row r="12" spans="1:23" s="143" customFormat="1" ht="15.55" x14ac:dyDescent="0.3">
      <c r="A12" s="146"/>
      <c r="B12" s="146" t="s">
        <v>33</v>
      </c>
      <c r="C12" s="146"/>
      <c r="D12" s="149">
        <v>30</v>
      </c>
      <c r="E12" s="147" t="s">
        <v>2</v>
      </c>
      <c r="F12" s="146"/>
    </row>
    <row r="13" spans="1:23" s="143" customFormat="1" ht="15.55" x14ac:dyDescent="0.3">
      <c r="A13" s="146"/>
      <c r="B13" s="147" t="s">
        <v>110</v>
      </c>
      <c r="C13" s="146"/>
      <c r="D13" s="149">
        <v>38</v>
      </c>
      <c r="E13" s="146" t="s">
        <v>2</v>
      </c>
      <c r="F13" s="146"/>
    </row>
    <row r="14" spans="1:23" s="143" customFormat="1" ht="15.55" x14ac:dyDescent="0.3">
      <c r="A14" s="146"/>
      <c r="B14" s="147" t="s">
        <v>111</v>
      </c>
      <c r="C14" s="146"/>
      <c r="D14" s="149">
        <v>25</v>
      </c>
      <c r="E14" s="146" t="s">
        <v>2</v>
      </c>
      <c r="F14" s="146"/>
      <c r="N14" s="148"/>
    </row>
    <row r="15" spans="1:23" s="143" customFormat="1" ht="15" customHeight="1" x14ac:dyDescent="0.3">
      <c r="A15" s="146"/>
      <c r="B15" s="146" t="s">
        <v>92</v>
      </c>
      <c r="C15" s="146"/>
      <c r="D15" s="149">
        <v>21</v>
      </c>
      <c r="E15" s="146" t="s">
        <v>119</v>
      </c>
      <c r="F15" s="146"/>
      <c r="Q15" s="182"/>
      <c r="R15" s="183"/>
      <c r="S15" s="183"/>
      <c r="T15" s="183"/>
      <c r="U15" s="183"/>
      <c r="V15" s="183"/>
      <c r="W15" s="183"/>
    </row>
    <row r="16" spans="1:23" s="143" customFormat="1" ht="15" customHeight="1" x14ac:dyDescent="0.3">
      <c r="A16" s="146"/>
      <c r="B16" s="147" t="s">
        <v>8</v>
      </c>
      <c r="C16" s="146" t="s">
        <v>20</v>
      </c>
      <c r="D16" s="150">
        <v>1</v>
      </c>
      <c r="E16" s="147" t="s">
        <v>122</v>
      </c>
      <c r="F16" s="138" t="s">
        <v>104</v>
      </c>
      <c r="R16" s="183"/>
      <c r="S16" s="183"/>
      <c r="T16" s="184"/>
      <c r="U16" s="183"/>
      <c r="V16" s="183"/>
      <c r="W16" s="183"/>
    </row>
    <row r="17" spans="1:23" s="143" customFormat="1" ht="15.55" x14ac:dyDescent="0.3">
      <c r="A17" s="146"/>
      <c r="B17" s="146" t="s">
        <v>10</v>
      </c>
      <c r="C17" s="146" t="s">
        <v>21</v>
      </c>
      <c r="D17" s="150">
        <v>1</v>
      </c>
      <c r="E17" s="147" t="s">
        <v>9</v>
      </c>
      <c r="F17" s="138" t="s">
        <v>105</v>
      </c>
      <c r="R17" s="183"/>
      <c r="S17" s="183"/>
      <c r="T17" s="184"/>
      <c r="U17" s="183"/>
      <c r="V17" s="183"/>
      <c r="W17" s="183"/>
    </row>
    <row r="18" spans="1:23" ht="14.4" thickBot="1" x14ac:dyDescent="0.3">
      <c r="A18" s="104"/>
      <c r="B18" s="109"/>
      <c r="C18" s="111"/>
      <c r="D18" s="112"/>
      <c r="E18" s="99"/>
      <c r="F18" s="99"/>
      <c r="G18" s="99"/>
      <c r="H18" s="99"/>
      <c r="I18" s="99"/>
      <c r="J18" s="99"/>
      <c r="K18" s="99"/>
      <c r="L18" s="99"/>
      <c r="M18" s="99"/>
      <c r="N18" s="99"/>
      <c r="O18" s="99"/>
      <c r="P18" s="99"/>
      <c r="Q18" s="99"/>
      <c r="R18" s="127"/>
      <c r="S18" s="22"/>
      <c r="T18" s="23"/>
      <c r="U18" s="22"/>
      <c r="V18" s="22"/>
      <c r="W18" s="22"/>
    </row>
    <row r="19" spans="1:23" ht="19.45" customHeight="1" x14ac:dyDescent="0.4">
      <c r="A19" s="153" t="s">
        <v>107</v>
      </c>
      <c r="B19" s="154" t="s">
        <v>101</v>
      </c>
      <c r="C19" s="155" t="s">
        <v>123</v>
      </c>
      <c r="D19" s="173">
        <v>4.38</v>
      </c>
      <c r="E19" s="157" t="s">
        <v>11</v>
      </c>
      <c r="F19" s="99"/>
      <c r="G19" s="99"/>
      <c r="H19" s="99"/>
      <c r="I19" s="99"/>
      <c r="J19" s="99"/>
      <c r="K19" s="99"/>
      <c r="L19" s="99"/>
      <c r="M19" s="99"/>
      <c r="N19" s="99"/>
      <c r="O19" s="99"/>
      <c r="P19" s="99"/>
      <c r="Q19" s="99"/>
      <c r="R19" s="127"/>
      <c r="S19" s="22"/>
      <c r="T19" s="23"/>
      <c r="U19" s="22"/>
      <c r="V19" s="22"/>
      <c r="W19" s="22"/>
    </row>
    <row r="20" spans="1:23" ht="15" customHeight="1" x14ac:dyDescent="0.3">
      <c r="A20" s="158"/>
      <c r="B20" s="148" t="s">
        <v>126</v>
      </c>
      <c r="C20" s="147" t="s">
        <v>22</v>
      </c>
      <c r="D20" s="174">
        <f>+D21/D$16</f>
        <v>7.5314856954863405</v>
      </c>
      <c r="E20" s="160" t="s">
        <v>124</v>
      </c>
      <c r="F20" s="99"/>
      <c r="G20" s="99"/>
      <c r="H20" s="99"/>
      <c r="I20" s="99"/>
      <c r="J20" s="99"/>
      <c r="K20" s="99"/>
      <c r="L20" s="99"/>
      <c r="M20" s="99"/>
      <c r="N20" s="99"/>
      <c r="O20" s="99"/>
      <c r="P20" s="99"/>
      <c r="Q20" s="99"/>
      <c r="R20" s="127"/>
      <c r="S20" s="22"/>
      <c r="T20" s="23"/>
      <c r="U20" s="22"/>
      <c r="V20" s="22"/>
      <c r="W20" s="22"/>
    </row>
    <row r="21" spans="1:23" ht="15.55" x14ac:dyDescent="0.3">
      <c r="A21" s="158" t="s">
        <v>1</v>
      </c>
      <c r="B21" s="148" t="s">
        <v>24</v>
      </c>
      <c r="C21" s="147" t="s">
        <v>23</v>
      </c>
      <c r="D21" s="174">
        <f>+(Intermediate!C$30*Intermediate!C$28*D$16*D$17*D$11)/(D19*2*Intermediate!C$29)</f>
        <v>7.5314856954863405</v>
      </c>
      <c r="E21" s="161" t="s">
        <v>6</v>
      </c>
      <c r="F21" s="99"/>
      <c r="G21" s="99"/>
      <c r="H21" s="99"/>
      <c r="I21" s="99"/>
      <c r="J21" s="99"/>
      <c r="K21" s="99"/>
      <c r="L21" s="99"/>
      <c r="M21" s="99"/>
      <c r="N21" s="99"/>
      <c r="O21" s="99"/>
      <c r="P21" s="99"/>
      <c r="Q21" s="99"/>
      <c r="R21" s="127"/>
      <c r="S21" s="22"/>
      <c r="T21" s="22"/>
      <c r="U21" s="22"/>
      <c r="V21" s="22"/>
      <c r="W21" s="22"/>
    </row>
    <row r="22" spans="1:23" ht="16.149999999999999" thickBot="1" x14ac:dyDescent="0.35">
      <c r="A22" s="162"/>
      <c r="B22" s="163" t="s">
        <v>12</v>
      </c>
      <c r="C22" s="164" t="s">
        <v>127</v>
      </c>
      <c r="D22" s="176">
        <f>D21+D21*((-13.643+13.678*EXP(-D$9/-47.773))/100)</f>
        <v>10.120984767836447</v>
      </c>
      <c r="E22" s="166" t="s">
        <v>6</v>
      </c>
      <c r="F22" s="99"/>
      <c r="G22" s="99"/>
      <c r="H22" s="99"/>
      <c r="I22" s="99"/>
      <c r="J22" s="99"/>
      <c r="K22" s="99"/>
      <c r="L22" s="99"/>
      <c r="M22" s="99"/>
      <c r="N22" s="99"/>
      <c r="O22" s="99"/>
      <c r="P22" s="99"/>
      <c r="Q22" s="99"/>
      <c r="R22" s="127"/>
      <c r="S22" s="22"/>
      <c r="T22" s="22"/>
      <c r="U22" s="22"/>
      <c r="V22" s="22"/>
      <c r="W22" s="22"/>
    </row>
    <row r="23" spans="1:23" ht="16.149999999999999" thickBot="1" x14ac:dyDescent="0.35">
      <c r="A23" s="146"/>
      <c r="B23" s="147"/>
      <c r="C23" s="179"/>
      <c r="D23" s="185"/>
      <c r="E23" s="143"/>
      <c r="F23" s="99"/>
      <c r="G23" s="99"/>
      <c r="H23" s="99"/>
      <c r="I23" s="99"/>
      <c r="J23" s="99"/>
      <c r="K23" s="99"/>
      <c r="L23" s="99"/>
      <c r="M23" s="99"/>
      <c r="N23" s="99"/>
      <c r="O23" s="99"/>
      <c r="P23" s="99"/>
      <c r="Q23" s="99"/>
      <c r="R23" s="127"/>
      <c r="S23" s="22"/>
      <c r="T23" s="22"/>
      <c r="U23" s="22"/>
      <c r="V23" s="22"/>
      <c r="W23" s="22"/>
    </row>
    <row r="24" spans="1:23" ht="17.850000000000001" x14ac:dyDescent="0.4">
      <c r="A24" s="153" t="s">
        <v>108</v>
      </c>
      <c r="B24" s="154" t="s">
        <v>101</v>
      </c>
      <c r="C24" s="155" t="s">
        <v>123</v>
      </c>
      <c r="D24" s="173">
        <v>4.25</v>
      </c>
      <c r="E24" s="157" t="s">
        <v>11</v>
      </c>
      <c r="F24" s="99"/>
      <c r="G24" s="99"/>
      <c r="H24" s="99"/>
      <c r="I24" s="99"/>
      <c r="J24" s="99"/>
      <c r="K24" s="99"/>
      <c r="L24" s="99"/>
      <c r="M24" s="99"/>
      <c r="N24" s="99"/>
      <c r="O24" s="99"/>
      <c r="P24" s="99"/>
      <c r="Q24" s="99"/>
      <c r="R24" s="127"/>
      <c r="S24" s="22"/>
      <c r="T24" s="22"/>
      <c r="U24" s="22"/>
      <c r="V24" s="22"/>
      <c r="W24" s="22"/>
    </row>
    <row r="25" spans="1:23" ht="15" customHeight="1" x14ac:dyDescent="0.3">
      <c r="A25" s="158"/>
      <c r="B25" s="148" t="s">
        <v>126</v>
      </c>
      <c r="C25" s="147" t="s">
        <v>22</v>
      </c>
      <c r="D25" s="174">
        <f>+D26/D$16</f>
        <v>7.7618605520541575</v>
      </c>
      <c r="E25" s="160" t="s">
        <v>124</v>
      </c>
      <c r="F25" s="99"/>
      <c r="G25" s="99"/>
      <c r="H25" s="99"/>
      <c r="I25" s="99"/>
      <c r="J25" s="99"/>
      <c r="K25" s="99"/>
      <c r="L25" s="99"/>
      <c r="M25" s="99"/>
      <c r="N25" s="99"/>
      <c r="O25" s="99"/>
      <c r="P25" s="99"/>
      <c r="Q25" s="99"/>
      <c r="R25" s="127"/>
      <c r="S25" s="22"/>
      <c r="T25" s="22"/>
      <c r="U25" s="22"/>
      <c r="V25" s="22"/>
      <c r="W25" s="22"/>
    </row>
    <row r="26" spans="1:23" ht="15.55" x14ac:dyDescent="0.3">
      <c r="A26" s="158" t="s">
        <v>1</v>
      </c>
      <c r="B26" s="148" t="s">
        <v>24</v>
      </c>
      <c r="C26" s="147" t="s">
        <v>23</v>
      </c>
      <c r="D26" s="174">
        <f>+(Intermediate!C$30*Intermediate!C$28*D$16*D$17*D$11)/(D24*2*Intermediate!C$29)</f>
        <v>7.7618605520541575</v>
      </c>
      <c r="E26" s="161" t="s">
        <v>6</v>
      </c>
      <c r="F26" s="99"/>
      <c r="G26" s="99"/>
      <c r="H26" s="99"/>
      <c r="I26" s="99"/>
      <c r="J26" s="99"/>
      <c r="K26" s="99"/>
      <c r="L26" s="99"/>
      <c r="M26" s="99"/>
      <c r="N26" s="99"/>
      <c r="O26" s="99"/>
      <c r="P26" s="99"/>
      <c r="Q26" s="99"/>
      <c r="R26" s="127"/>
      <c r="S26" s="22"/>
      <c r="T26" s="22"/>
      <c r="U26" s="22"/>
      <c r="V26" s="22"/>
      <c r="W26" s="22"/>
    </row>
    <row r="27" spans="1:23" ht="16.149999999999999" thickBot="1" x14ac:dyDescent="0.35">
      <c r="A27" s="162"/>
      <c r="B27" s="163" t="s">
        <v>12</v>
      </c>
      <c r="C27" s="164" t="s">
        <v>127</v>
      </c>
      <c r="D27" s="176">
        <f>D26+(D26 *(0.22358*D$9^1.2686)/100)</f>
        <v>10.889102364029009</v>
      </c>
      <c r="E27" s="166" t="s">
        <v>6</v>
      </c>
      <c r="F27" s="99"/>
      <c r="G27" s="99"/>
      <c r="H27" s="99"/>
      <c r="I27" s="99"/>
      <c r="J27" s="99"/>
      <c r="K27" s="99"/>
      <c r="L27" s="99"/>
      <c r="M27" s="99"/>
      <c r="N27" s="99"/>
      <c r="O27" s="99"/>
      <c r="P27" s="99"/>
      <c r="Q27" s="99"/>
      <c r="R27" s="127"/>
      <c r="S27" s="22"/>
      <c r="T27" s="22"/>
      <c r="U27" s="22"/>
      <c r="V27" s="22"/>
      <c r="W27" s="22"/>
    </row>
    <row r="28" spans="1:23" ht="16.149999999999999" thickBot="1" x14ac:dyDescent="0.35">
      <c r="A28" s="146"/>
      <c r="B28" s="147"/>
      <c r="C28" s="179"/>
      <c r="D28" s="179"/>
      <c r="E28" s="143"/>
      <c r="F28" s="99"/>
      <c r="G28" s="99"/>
      <c r="H28" s="99"/>
      <c r="I28" s="99"/>
      <c r="J28" s="99"/>
      <c r="K28" s="99"/>
      <c r="L28" s="99"/>
      <c r="M28" s="99"/>
      <c r="N28" s="99"/>
      <c r="O28" s="99"/>
      <c r="P28" s="99"/>
      <c r="Q28" s="99"/>
      <c r="R28" s="127"/>
      <c r="S28" s="22"/>
      <c r="T28" s="22"/>
      <c r="U28" s="22"/>
      <c r="V28" s="22"/>
      <c r="W28" s="22"/>
    </row>
    <row r="29" spans="1:23" ht="17.850000000000001" x14ac:dyDescent="0.4">
      <c r="A29" s="153" t="s">
        <v>125</v>
      </c>
      <c r="B29" s="154" t="s">
        <v>101</v>
      </c>
      <c r="C29" s="155" t="s">
        <v>123</v>
      </c>
      <c r="D29" s="173">
        <v>4.18</v>
      </c>
      <c r="E29" s="157" t="s">
        <v>11</v>
      </c>
      <c r="F29" s="99"/>
      <c r="G29" s="99"/>
      <c r="H29" s="99"/>
      <c r="I29" s="99"/>
      <c r="J29" s="99"/>
      <c r="K29" s="99"/>
      <c r="L29" s="99"/>
      <c r="M29" s="99"/>
      <c r="N29" s="99"/>
      <c r="O29" s="99"/>
      <c r="P29" s="99"/>
      <c r="Q29" s="99"/>
      <c r="R29" s="127"/>
      <c r="S29" s="22"/>
      <c r="T29" s="22"/>
      <c r="U29" s="22"/>
      <c r="V29" s="22"/>
      <c r="W29" s="22"/>
    </row>
    <row r="30" spans="1:23" ht="15" customHeight="1" x14ac:dyDescent="0.3">
      <c r="A30" s="158"/>
      <c r="B30" s="148" t="s">
        <v>126</v>
      </c>
      <c r="C30" s="147" t="s">
        <v>22</v>
      </c>
      <c r="D30" s="174">
        <f>+D31/D$16</f>
        <v>7.8918438627344907</v>
      </c>
      <c r="E30" s="160" t="s">
        <v>124</v>
      </c>
      <c r="F30" s="99"/>
      <c r="G30" s="99"/>
      <c r="H30" s="99"/>
      <c r="I30" s="99"/>
      <c r="J30" s="99"/>
      <c r="K30" s="99"/>
      <c r="L30" s="99"/>
      <c r="M30" s="99"/>
      <c r="N30" s="99"/>
      <c r="O30" s="99"/>
      <c r="P30" s="99"/>
      <c r="Q30" s="99"/>
      <c r="R30" s="127"/>
      <c r="S30" s="22"/>
      <c r="T30" s="22"/>
      <c r="U30" s="22"/>
      <c r="V30" s="22"/>
      <c r="W30" s="22"/>
    </row>
    <row r="31" spans="1:23" ht="15.55" x14ac:dyDescent="0.3">
      <c r="A31" s="158" t="s">
        <v>1</v>
      </c>
      <c r="B31" s="148" t="s">
        <v>24</v>
      </c>
      <c r="C31" s="147" t="s">
        <v>23</v>
      </c>
      <c r="D31" s="174">
        <f>+(Intermediate!C$30*Intermediate!C$28*D$16*D$17*D$11)/(D29*2*Intermediate!C$29)</f>
        <v>7.8918438627344907</v>
      </c>
      <c r="E31" s="161" t="s">
        <v>6</v>
      </c>
      <c r="F31" s="99"/>
      <c r="G31" s="99"/>
      <c r="H31" s="99"/>
      <c r="I31" s="99"/>
      <c r="J31" s="99"/>
      <c r="K31" s="99"/>
      <c r="L31" s="99"/>
      <c r="M31" s="99"/>
      <c r="N31" s="99"/>
      <c r="O31" s="99"/>
      <c r="P31" s="99"/>
      <c r="Q31" s="99"/>
      <c r="R31" s="127"/>
      <c r="S31" s="22"/>
      <c r="T31" s="22"/>
      <c r="U31" s="22"/>
      <c r="V31" s="22"/>
      <c r="W31" s="22"/>
    </row>
    <row r="32" spans="1:23" ht="16.149999999999999" thickBot="1" x14ac:dyDescent="0.35">
      <c r="A32" s="162"/>
      <c r="B32" s="163" t="s">
        <v>12</v>
      </c>
      <c r="C32" s="164" t="s">
        <v>127</v>
      </c>
      <c r="D32" s="176">
        <f>D31+D31 *(0.382*D$9/100)</f>
        <v>9.7006544760732361</v>
      </c>
      <c r="E32" s="166" t="s">
        <v>6</v>
      </c>
      <c r="F32" s="99"/>
      <c r="G32" s="99"/>
      <c r="H32" s="99"/>
      <c r="I32" s="99"/>
      <c r="J32" s="99"/>
      <c r="K32" s="99"/>
      <c r="L32" s="99"/>
      <c r="M32" s="99"/>
      <c r="N32" s="99"/>
      <c r="O32" s="99"/>
      <c r="P32" s="99"/>
      <c r="Q32" s="99"/>
      <c r="R32" s="127"/>
      <c r="S32" s="22"/>
      <c r="T32" s="22"/>
      <c r="U32" s="22"/>
      <c r="V32" s="22"/>
      <c r="W32" s="22"/>
    </row>
    <row r="33" spans="1:23" ht="16.149999999999999" thickBot="1" x14ac:dyDescent="0.35">
      <c r="A33" s="146"/>
      <c r="B33" s="147"/>
      <c r="C33" s="186"/>
      <c r="D33" s="187"/>
      <c r="E33" s="143"/>
      <c r="F33" s="99"/>
      <c r="G33" s="99"/>
      <c r="H33" s="99"/>
      <c r="I33" s="99"/>
      <c r="J33" s="99"/>
      <c r="K33" s="99"/>
      <c r="L33" s="99"/>
      <c r="M33" s="99"/>
      <c r="N33" s="99"/>
      <c r="O33" s="99"/>
      <c r="P33" s="99"/>
      <c r="Q33" s="99"/>
      <c r="R33" s="127"/>
      <c r="S33" s="22"/>
      <c r="T33" s="22"/>
      <c r="U33" s="22"/>
      <c r="V33" s="22"/>
      <c r="W33" s="22"/>
    </row>
    <row r="34" spans="1:23" ht="18" customHeight="1" x14ac:dyDescent="0.4">
      <c r="A34" s="167" t="s">
        <v>109</v>
      </c>
      <c r="B34" s="154" t="s">
        <v>101</v>
      </c>
      <c r="C34" s="155" t="s">
        <v>123</v>
      </c>
      <c r="D34" s="173">
        <v>1.47</v>
      </c>
      <c r="E34" s="157" t="s">
        <v>11</v>
      </c>
      <c r="F34" s="99"/>
      <c r="G34" s="99"/>
      <c r="H34" s="99"/>
      <c r="I34" s="99"/>
      <c r="J34" s="99"/>
      <c r="K34" s="99"/>
      <c r="L34" s="99"/>
      <c r="M34" s="99"/>
      <c r="N34" s="99"/>
      <c r="O34" s="99"/>
      <c r="P34" s="99"/>
      <c r="Q34" s="99"/>
      <c r="R34" s="127"/>
      <c r="S34" s="22"/>
      <c r="T34" s="22"/>
      <c r="U34" s="22"/>
      <c r="V34" s="22"/>
      <c r="W34" s="22"/>
    </row>
    <row r="35" spans="1:23" ht="15" customHeight="1" x14ac:dyDescent="0.3">
      <c r="A35" s="168" t="s">
        <v>113</v>
      </c>
      <c r="B35" s="148" t="s">
        <v>126</v>
      </c>
      <c r="C35" s="147" t="s">
        <v>22</v>
      </c>
      <c r="D35" s="174">
        <f>+D36/D$16</f>
        <v>22.440753296755219</v>
      </c>
      <c r="E35" s="160" t="s">
        <v>124</v>
      </c>
      <c r="F35" s="99"/>
      <c r="G35" s="99"/>
      <c r="H35" s="99"/>
      <c r="I35" s="99"/>
      <c r="J35" s="99"/>
      <c r="K35" s="99"/>
      <c r="L35" s="99"/>
      <c r="M35" s="99"/>
      <c r="N35" s="99"/>
      <c r="O35" s="99"/>
      <c r="P35" s="99"/>
      <c r="Q35" s="99"/>
      <c r="R35" s="127"/>
      <c r="S35" s="22"/>
      <c r="T35" s="22"/>
      <c r="U35" s="22"/>
      <c r="V35" s="22"/>
      <c r="W35" s="22"/>
    </row>
    <row r="36" spans="1:23" ht="15.55" x14ac:dyDescent="0.3">
      <c r="A36" s="168"/>
      <c r="B36" s="148" t="s">
        <v>24</v>
      </c>
      <c r="C36" s="147" t="s">
        <v>23</v>
      </c>
      <c r="D36" s="174">
        <f>+(Intermediate!C$30*Intermediate!C$28*D$16*D$17*D$11)/(D34*2*Intermediate!C$29)</f>
        <v>22.440753296755219</v>
      </c>
      <c r="E36" s="161" t="s">
        <v>6</v>
      </c>
      <c r="F36" s="99"/>
      <c r="G36" s="99"/>
      <c r="H36" s="99"/>
      <c r="I36" s="99"/>
      <c r="J36" s="99"/>
      <c r="K36" s="99"/>
      <c r="L36" s="99"/>
      <c r="M36" s="99"/>
      <c r="N36" s="99"/>
      <c r="O36" s="99"/>
      <c r="P36" s="99"/>
      <c r="Q36" s="99"/>
      <c r="R36" s="127"/>
      <c r="S36" s="22"/>
      <c r="T36" s="22"/>
      <c r="U36" s="22"/>
      <c r="V36" s="22"/>
      <c r="W36" s="22"/>
    </row>
    <row r="37" spans="1:23" ht="16.149999999999999" thickBot="1" x14ac:dyDescent="0.35">
      <c r="A37" s="162"/>
      <c r="B37" s="163" t="s">
        <v>12</v>
      </c>
      <c r="C37" s="164" t="s">
        <v>127</v>
      </c>
      <c r="D37" s="176">
        <f>D36+D36 *(0.529*D$9/100)</f>
        <v>29.563448393145325</v>
      </c>
      <c r="E37" s="166" t="s">
        <v>6</v>
      </c>
      <c r="F37" s="99"/>
      <c r="G37" s="99"/>
      <c r="H37" s="99"/>
      <c r="I37" s="99"/>
      <c r="J37" s="99"/>
      <c r="K37" s="99"/>
      <c r="L37" s="99"/>
      <c r="M37" s="99"/>
      <c r="N37" s="99"/>
      <c r="O37" s="99"/>
      <c r="P37" s="99"/>
      <c r="Q37" s="99"/>
      <c r="R37" s="127"/>
      <c r="S37" s="22"/>
      <c r="T37" s="22"/>
      <c r="U37" s="22"/>
      <c r="V37" s="22"/>
      <c r="W37" s="22"/>
    </row>
    <row r="38" spans="1:23" ht="16.149999999999999" thickBot="1" x14ac:dyDescent="0.35">
      <c r="A38" s="144" t="s">
        <v>1</v>
      </c>
      <c r="B38" s="147"/>
      <c r="C38" s="179"/>
      <c r="D38" s="179"/>
      <c r="E38" s="143"/>
      <c r="F38" s="99"/>
      <c r="G38" s="99"/>
      <c r="H38" s="99"/>
      <c r="I38" s="99"/>
      <c r="J38" s="99"/>
      <c r="K38" s="99"/>
      <c r="L38" s="99"/>
      <c r="M38" s="99"/>
      <c r="N38" s="99"/>
      <c r="O38" s="99"/>
      <c r="P38" s="99"/>
      <c r="Q38" s="99"/>
      <c r="R38" s="127"/>
      <c r="S38" s="22"/>
      <c r="T38" s="22"/>
      <c r="U38" s="22"/>
      <c r="V38" s="22"/>
      <c r="W38" s="22"/>
    </row>
    <row r="39" spans="1:23" ht="15" customHeight="1" x14ac:dyDescent="0.4">
      <c r="A39" s="153" t="s">
        <v>37</v>
      </c>
      <c r="B39" s="154" t="s">
        <v>102</v>
      </c>
      <c r="C39" s="155" t="s">
        <v>123</v>
      </c>
      <c r="D39" s="169">
        <v>3</v>
      </c>
      <c r="E39" s="157" t="s">
        <v>11</v>
      </c>
      <c r="F39" s="99"/>
      <c r="G39" s="99"/>
      <c r="H39" s="99"/>
      <c r="I39" s="99"/>
      <c r="J39" s="99"/>
      <c r="K39" s="99"/>
      <c r="L39" s="99"/>
      <c r="M39" s="99"/>
      <c r="N39" s="99"/>
      <c r="O39" s="99"/>
      <c r="P39" s="99"/>
      <c r="Q39" s="99"/>
      <c r="R39" s="127"/>
      <c r="S39" s="22"/>
      <c r="T39" s="22"/>
      <c r="U39" s="22"/>
      <c r="V39" s="22"/>
      <c r="W39" s="22"/>
    </row>
    <row r="40" spans="1:23" ht="18" customHeight="1" x14ac:dyDescent="0.3">
      <c r="A40" s="170" t="s">
        <v>38</v>
      </c>
      <c r="B40" s="148" t="s">
        <v>126</v>
      </c>
      <c r="C40" s="147" t="s">
        <v>22</v>
      </c>
      <c r="D40" s="174">
        <f>+D41/D$16</f>
        <v>10.995969115410055</v>
      </c>
      <c r="E40" s="160" t="s">
        <v>124</v>
      </c>
      <c r="F40" s="99"/>
      <c r="G40" s="99"/>
      <c r="H40" s="99"/>
      <c r="I40" s="99"/>
      <c r="J40" s="99"/>
      <c r="K40" s="99"/>
      <c r="L40" s="99"/>
      <c r="M40" s="99"/>
      <c r="N40" s="99"/>
      <c r="O40" s="99"/>
      <c r="P40" s="99"/>
      <c r="Q40" s="99"/>
      <c r="R40" s="127"/>
      <c r="S40" s="22"/>
      <c r="T40" s="22"/>
      <c r="U40" s="22"/>
      <c r="V40" s="22"/>
      <c r="W40" s="22"/>
    </row>
    <row r="41" spans="1:23" ht="15.55" x14ac:dyDescent="0.3">
      <c r="A41" s="158"/>
      <c r="B41" s="148" t="s">
        <v>24</v>
      </c>
      <c r="C41" s="147" t="s">
        <v>23</v>
      </c>
      <c r="D41" s="174">
        <f>+(Intermediate!C$30*Intermediate!C$28*D$16*D$17*D$11)/(D39*2*Intermediate!C$29)</f>
        <v>10.995969115410055</v>
      </c>
      <c r="E41" s="161" t="s">
        <v>6</v>
      </c>
      <c r="F41" s="99"/>
      <c r="H41" s="99"/>
      <c r="I41" s="99"/>
      <c r="J41" s="99"/>
      <c r="K41" s="99"/>
      <c r="L41" s="99"/>
      <c r="M41" s="99"/>
      <c r="N41" s="99"/>
      <c r="O41" s="99"/>
      <c r="P41" s="99"/>
      <c r="Q41" s="99"/>
      <c r="R41" s="127"/>
      <c r="S41" s="22"/>
      <c r="T41" s="22"/>
      <c r="U41" s="22"/>
      <c r="V41" s="22"/>
      <c r="W41" s="22"/>
    </row>
    <row r="42" spans="1:23" ht="16.149999999999999" thickBot="1" x14ac:dyDescent="0.35">
      <c r="A42" s="162"/>
      <c r="B42" s="163" t="s">
        <v>36</v>
      </c>
      <c r="C42" s="164" t="s">
        <v>127</v>
      </c>
      <c r="D42" s="177" t="s">
        <v>35</v>
      </c>
      <c r="E42" s="166" t="s">
        <v>6</v>
      </c>
      <c r="F42" s="99"/>
      <c r="G42" s="99"/>
      <c r="H42" s="99"/>
      <c r="I42" s="99"/>
      <c r="J42" s="99"/>
      <c r="K42" s="99"/>
      <c r="L42" s="99"/>
      <c r="M42" s="99"/>
      <c r="N42" s="99"/>
      <c r="O42" s="99"/>
      <c r="P42" s="99"/>
      <c r="Q42" s="99"/>
      <c r="R42" s="99"/>
    </row>
    <row r="43" spans="1:23" ht="15.55" x14ac:dyDescent="0.3">
      <c r="A43" s="143"/>
      <c r="B43" s="179"/>
      <c r="C43" s="188"/>
      <c r="D43" s="189"/>
      <c r="E43" s="143"/>
      <c r="F43" s="99"/>
      <c r="G43" s="143" t="s">
        <v>133</v>
      </c>
      <c r="H43" s="99"/>
      <c r="I43" s="99"/>
      <c r="J43" s="99"/>
      <c r="K43" s="99"/>
      <c r="L43" s="99"/>
      <c r="M43" s="99"/>
      <c r="N43" s="99"/>
      <c r="O43" s="99"/>
      <c r="Q43" s="143" t="s">
        <v>93</v>
      </c>
      <c r="R43" s="99"/>
    </row>
    <row r="44" spans="1:23" ht="15.55" x14ac:dyDescent="0.3">
      <c r="A44" s="138" t="s">
        <v>103</v>
      </c>
      <c r="B44" s="147"/>
      <c r="C44" s="178"/>
      <c r="D44" s="179"/>
      <c r="E44" s="143"/>
      <c r="F44" s="99"/>
      <c r="G44" s="99"/>
      <c r="H44" s="99"/>
      <c r="I44" s="99"/>
      <c r="J44" s="99"/>
      <c r="K44" s="99"/>
      <c r="L44" s="99"/>
      <c r="M44" s="99"/>
      <c r="N44" s="99"/>
      <c r="O44" s="99"/>
      <c r="P44" s="99"/>
      <c r="Q44" s="99"/>
      <c r="R44" s="99"/>
    </row>
  </sheetData>
  <sheetProtection password="CD8A" sheet="1"/>
  <protectedRanges>
    <protectedRange password="CD8A" sqref="D39" name="Range2"/>
    <protectedRange password="CD8A" sqref="D9:D17" name="Range1"/>
  </protectedRange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26" sqref="A26"/>
    </sheetView>
  </sheetViews>
  <sheetFormatPr defaultRowHeight="12.7" x14ac:dyDescent="0.25"/>
  <cols>
    <col min="1" max="1" width="151.33203125" customWidth="1"/>
    <col min="2" max="2" width="69.5546875" customWidth="1"/>
    <col min="3" max="3" width="22.109375" customWidth="1"/>
    <col min="4" max="4" width="51.88671875" customWidth="1"/>
  </cols>
  <sheetData>
    <row r="1" spans="1:4" ht="15.55" x14ac:dyDescent="0.3">
      <c r="A1" s="71" t="s">
        <v>67</v>
      </c>
    </row>
    <row r="2" spans="1:4" ht="15" customHeight="1" x14ac:dyDescent="0.25"/>
    <row r="3" spans="1:4" ht="15" customHeight="1" x14ac:dyDescent="0.3">
      <c r="A3" s="143" t="s">
        <v>135</v>
      </c>
      <c r="B3" s="2"/>
      <c r="C3" s="143"/>
      <c r="D3" s="143"/>
    </row>
    <row r="4" spans="1:4" ht="18" customHeight="1" x14ac:dyDescent="0.3">
      <c r="A4" s="143" t="s">
        <v>136</v>
      </c>
      <c r="B4" s="2"/>
      <c r="C4" s="143" t="s">
        <v>1</v>
      </c>
      <c r="D4" s="143"/>
    </row>
    <row r="5" spans="1:4" ht="13.85" x14ac:dyDescent="0.25">
      <c r="A5" s="128"/>
    </row>
    <row r="6" spans="1:4" ht="13.85" x14ac:dyDescent="0.25">
      <c r="A6" s="128"/>
    </row>
    <row r="7" spans="1:4" ht="13.85" x14ac:dyDescent="0.25">
      <c r="A7" s="99"/>
    </row>
    <row r="8" spans="1:4" x14ac:dyDescent="0.25">
      <c r="A8" s="16"/>
    </row>
    <row r="10" spans="1:4" x14ac:dyDescent="0.25">
      <c r="A10" s="16"/>
    </row>
  </sheetData>
  <sheetProtection password="CD8A" sheet="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4"/>
  <sheetViews>
    <sheetView zoomScale="80" zoomScaleNormal="80" workbookViewId="0">
      <selection activeCell="A42" sqref="A42"/>
    </sheetView>
  </sheetViews>
  <sheetFormatPr defaultRowHeight="12.7" x14ac:dyDescent="0.25"/>
  <cols>
    <col min="1" max="1" width="74.33203125" customWidth="1"/>
    <col min="2" max="2" width="8.109375" customWidth="1"/>
    <col min="3" max="3" width="9.6640625" customWidth="1"/>
    <col min="4" max="4" width="9.88671875" customWidth="1"/>
    <col min="5" max="5" width="15.44140625" customWidth="1"/>
    <col min="6" max="7" width="9.109375" customWidth="1"/>
    <col min="8" max="8" width="7.33203125" customWidth="1"/>
    <col min="9" max="9" width="55.33203125" customWidth="1"/>
    <col min="10" max="10" width="6.33203125" customWidth="1"/>
    <col min="11" max="11" width="8.33203125" customWidth="1"/>
    <col min="12" max="12" width="12" customWidth="1"/>
    <col min="13" max="13" width="11.5546875" customWidth="1"/>
    <col min="14" max="14" width="9.5546875" customWidth="1"/>
    <col min="15" max="15" width="7.6640625" customWidth="1"/>
    <col min="16" max="16" width="13.109375" customWidth="1"/>
    <col min="17" max="17" width="3.33203125" customWidth="1"/>
    <col min="18" max="18" width="8.44140625" customWidth="1"/>
    <col min="19" max="19" width="11.88671875" customWidth="1"/>
    <col min="20" max="20" width="9.5546875" customWidth="1"/>
    <col min="21" max="21" width="10.88671875" customWidth="1"/>
    <col min="22" max="22" width="7.5546875" customWidth="1"/>
    <col min="23" max="23" width="13.5546875" customWidth="1"/>
    <col min="24" max="24" width="2.88671875" customWidth="1"/>
    <col min="25" max="25" width="12.33203125" customWidth="1"/>
    <col min="26" max="26" width="12.44140625" customWidth="1"/>
    <col min="27" max="27" width="10.44140625" customWidth="1"/>
    <col min="28" max="28" width="10.33203125" customWidth="1"/>
    <col min="29" max="29" width="11.109375" customWidth="1"/>
    <col min="30" max="31" width="12.33203125" customWidth="1"/>
    <col min="32" max="32" width="4.5546875" customWidth="1"/>
    <col min="33" max="33" width="9.109375" customWidth="1"/>
    <col min="34" max="34" width="13.5546875" customWidth="1"/>
    <col min="35" max="35" width="11" customWidth="1"/>
    <col min="36" max="36" width="10.88671875" customWidth="1"/>
    <col min="37" max="37" width="9" customWidth="1"/>
    <col min="38" max="38" width="9.109375" customWidth="1"/>
    <col min="39" max="39" width="5.33203125" customWidth="1"/>
    <col min="40" max="40" width="11.88671875" customWidth="1"/>
    <col min="41" max="41" width="10.88671875" customWidth="1"/>
    <col min="42" max="42" width="8.5546875" customWidth="1"/>
    <col min="43" max="43" width="7.88671875" customWidth="1"/>
    <col min="44" max="44" width="9.109375" customWidth="1"/>
    <col min="45" max="45" width="10.109375" customWidth="1"/>
  </cols>
  <sheetData>
    <row r="1" spans="1:46" ht="18" customHeight="1" x14ac:dyDescent="0.35">
      <c r="A1" s="24"/>
      <c r="B1" s="91" t="s">
        <v>71</v>
      </c>
      <c r="C1" s="92"/>
      <c r="D1" s="92"/>
      <c r="E1" s="25"/>
      <c r="F1" s="25"/>
      <c r="G1" s="25"/>
      <c r="H1" s="25"/>
      <c r="I1" s="26"/>
      <c r="J1" s="27"/>
      <c r="K1" s="34" t="s">
        <v>81</v>
      </c>
      <c r="L1" s="25"/>
      <c r="M1" s="25"/>
      <c r="N1" s="25"/>
      <c r="O1" s="25"/>
      <c r="P1" s="26"/>
      <c r="Q1" s="27"/>
      <c r="R1" s="34" t="s">
        <v>82</v>
      </c>
      <c r="S1" s="25"/>
      <c r="T1" s="25"/>
      <c r="U1" s="25"/>
      <c r="V1" s="25"/>
      <c r="W1" s="26"/>
      <c r="X1" s="27"/>
      <c r="Y1" s="34" t="s">
        <v>82</v>
      </c>
      <c r="Z1" s="25"/>
      <c r="AA1" s="25"/>
      <c r="AB1" s="25"/>
      <c r="AC1" s="25"/>
      <c r="AD1" s="25"/>
      <c r="AE1" s="26"/>
      <c r="AF1" s="27"/>
      <c r="AG1" s="34" t="s">
        <v>83</v>
      </c>
      <c r="AH1" s="25"/>
      <c r="AI1" s="25"/>
      <c r="AJ1" s="25"/>
      <c r="AK1" s="25"/>
      <c r="AL1" s="26"/>
      <c r="AM1" s="27"/>
      <c r="AN1" s="96" t="s">
        <v>83</v>
      </c>
      <c r="AO1" s="84"/>
      <c r="AP1" s="84"/>
      <c r="AQ1" s="84"/>
      <c r="AR1" s="84"/>
      <c r="AS1" s="84"/>
      <c r="AT1" s="85"/>
    </row>
    <row r="2" spans="1:46" x14ac:dyDescent="0.25">
      <c r="A2" s="18"/>
      <c r="B2" s="93" t="s">
        <v>72</v>
      </c>
      <c r="C2" s="94"/>
      <c r="D2" s="94"/>
      <c r="E2" s="27"/>
      <c r="F2" s="27"/>
      <c r="G2" s="27"/>
      <c r="H2" s="27"/>
      <c r="I2" s="28"/>
      <c r="J2" s="27"/>
      <c r="K2" s="35" t="s">
        <v>56</v>
      </c>
      <c r="L2" s="36" t="s">
        <v>46</v>
      </c>
      <c r="M2" s="36"/>
      <c r="N2" s="27"/>
      <c r="O2" s="54"/>
      <c r="P2" s="55"/>
      <c r="Q2" s="27"/>
      <c r="R2" s="35" t="s">
        <v>56</v>
      </c>
      <c r="S2" s="36" t="s">
        <v>89</v>
      </c>
      <c r="T2" s="36"/>
      <c r="U2" s="36"/>
      <c r="V2" s="36"/>
      <c r="W2" s="44"/>
      <c r="X2" s="27"/>
      <c r="Y2" s="37" t="s">
        <v>84</v>
      </c>
      <c r="Z2" s="36" t="s">
        <v>85</v>
      </c>
      <c r="AA2" s="36" t="s">
        <v>86</v>
      </c>
      <c r="AB2" s="36"/>
      <c r="AC2" s="36"/>
      <c r="AD2" s="27"/>
      <c r="AE2" s="55"/>
      <c r="AF2" s="27"/>
      <c r="AG2" s="35" t="s">
        <v>56</v>
      </c>
      <c r="AH2" s="36" t="s">
        <v>46</v>
      </c>
      <c r="AI2" s="54"/>
      <c r="AJ2" s="6"/>
      <c r="AK2" s="54"/>
      <c r="AL2" s="55"/>
      <c r="AM2" s="27"/>
      <c r="AN2" s="37" t="s">
        <v>84</v>
      </c>
      <c r="AO2" s="36" t="s">
        <v>85</v>
      </c>
      <c r="AP2" s="36" t="s">
        <v>86</v>
      </c>
      <c r="AQ2" s="36"/>
      <c r="AR2" s="36"/>
      <c r="AS2" s="27"/>
      <c r="AT2" s="55"/>
    </row>
    <row r="3" spans="1:46" x14ac:dyDescent="0.25">
      <c r="A3" s="11" t="s">
        <v>27</v>
      </c>
      <c r="B3" s="27"/>
      <c r="C3" s="27"/>
      <c r="D3" s="27"/>
      <c r="E3" s="27"/>
      <c r="F3" s="27"/>
      <c r="G3" s="27"/>
      <c r="H3" s="27"/>
      <c r="I3" s="28"/>
      <c r="J3" s="27"/>
      <c r="K3" s="37">
        <v>0</v>
      </c>
      <c r="L3" s="38">
        <f>'1. RH fluctuations'!D9</f>
        <v>45</v>
      </c>
      <c r="M3" s="61"/>
      <c r="N3" s="27"/>
      <c r="O3" s="54"/>
      <c r="P3" s="55"/>
      <c r="Q3" s="27"/>
      <c r="R3" s="37">
        <v>0</v>
      </c>
      <c r="S3" s="38">
        <f>T10</f>
        <v>50</v>
      </c>
      <c r="T3" s="61"/>
      <c r="U3" s="54"/>
      <c r="V3" s="54"/>
      <c r="W3" s="55"/>
      <c r="X3" s="27"/>
      <c r="Y3" s="86">
        <f>'2. Keep RH low'!$D$9</f>
        <v>20</v>
      </c>
      <c r="Z3" s="38">
        <f>Y3</f>
        <v>20</v>
      </c>
      <c r="AA3" s="39">
        <f>Y4</f>
        <v>30</v>
      </c>
      <c r="AB3" s="54"/>
      <c r="AC3" s="54"/>
      <c r="AD3" s="27"/>
      <c r="AE3" s="28"/>
      <c r="AF3" s="27"/>
      <c r="AG3" s="37">
        <v>0</v>
      </c>
      <c r="AH3" s="38">
        <f>AI10</f>
        <v>30</v>
      </c>
      <c r="AI3" s="61"/>
      <c r="AJ3" s="6"/>
      <c r="AK3" s="54"/>
      <c r="AL3" s="55"/>
      <c r="AM3" s="27"/>
      <c r="AN3" s="86">
        <f>'3. Keep RH high'!D9</f>
        <v>60</v>
      </c>
      <c r="AO3" s="38">
        <f>AN3</f>
        <v>60</v>
      </c>
      <c r="AP3" s="39">
        <f>AN4</f>
        <v>50</v>
      </c>
      <c r="AQ3" s="54"/>
      <c r="AR3" s="54"/>
      <c r="AS3" s="27"/>
      <c r="AT3" s="28"/>
    </row>
    <row r="4" spans="1:46" ht="13.25" thickBot="1" x14ac:dyDescent="0.3">
      <c r="A4" s="11" t="s">
        <v>13</v>
      </c>
      <c r="B4" s="10" t="s">
        <v>15</v>
      </c>
      <c r="C4" s="15" t="s">
        <v>16</v>
      </c>
      <c r="D4" s="10" t="s">
        <v>17</v>
      </c>
      <c r="E4" s="10" t="s">
        <v>14</v>
      </c>
      <c r="F4" s="27"/>
      <c r="G4" s="27"/>
      <c r="H4" s="27"/>
      <c r="I4" s="28"/>
      <c r="J4" s="27"/>
      <c r="K4" s="60">
        <v>365</v>
      </c>
      <c r="L4" s="48">
        <f>L3</f>
        <v>45</v>
      </c>
      <c r="M4" s="56"/>
      <c r="N4" s="32"/>
      <c r="O4" s="56"/>
      <c r="P4" s="57"/>
      <c r="Q4" s="27"/>
      <c r="R4" s="53">
        <f>'2. Keep RH low'!$D$11</f>
        <v>120</v>
      </c>
      <c r="S4" s="48">
        <f>T10</f>
        <v>50</v>
      </c>
      <c r="T4" s="54"/>
      <c r="U4" s="54"/>
      <c r="V4" s="87"/>
      <c r="W4" s="55"/>
      <c r="X4" s="27"/>
      <c r="Y4" s="86">
        <f>'2. Keep RH low'!$D$10</f>
        <v>30</v>
      </c>
      <c r="Z4" s="48">
        <f>Y3</f>
        <v>20</v>
      </c>
      <c r="AA4" s="49">
        <f>Y4</f>
        <v>30</v>
      </c>
      <c r="AB4" s="54"/>
      <c r="AC4" s="87"/>
      <c r="AD4" s="27"/>
      <c r="AE4" s="28"/>
      <c r="AF4" s="27"/>
      <c r="AG4" s="53">
        <f>'3. Keep RH high'!D11</f>
        <v>120</v>
      </c>
      <c r="AH4" s="48">
        <f>AI10</f>
        <v>30</v>
      </c>
      <c r="AI4" s="61"/>
      <c r="AJ4" s="6"/>
      <c r="AK4" s="87"/>
      <c r="AL4" s="55"/>
      <c r="AM4" s="27"/>
      <c r="AN4" s="95">
        <f>'3. Keep RH high'!D10</f>
        <v>50</v>
      </c>
      <c r="AO4" s="48">
        <f>AN3</f>
        <v>60</v>
      </c>
      <c r="AP4" s="49">
        <f>AN4</f>
        <v>50</v>
      </c>
      <c r="AQ4" s="54"/>
      <c r="AR4" s="87"/>
      <c r="AS4" s="27"/>
      <c r="AT4" s="28"/>
    </row>
    <row r="5" spans="1:46" ht="16.149999999999999" x14ac:dyDescent="0.35">
      <c r="A5" s="29" t="s">
        <v>3</v>
      </c>
      <c r="B5" s="13" t="s">
        <v>69</v>
      </c>
      <c r="C5" s="12">
        <f>7.36*EXP('1. RH fluctuations'!D12/19.96)-2.75</f>
        <v>18.326615192350094</v>
      </c>
      <c r="D5" s="9" t="s">
        <v>7</v>
      </c>
      <c r="E5" s="13" t="s">
        <v>41</v>
      </c>
      <c r="F5" s="27"/>
      <c r="G5" s="27"/>
      <c r="H5" s="27"/>
      <c r="I5" s="28"/>
      <c r="J5" s="27"/>
      <c r="K5" s="58"/>
      <c r="L5" s="25"/>
      <c r="M5" s="25"/>
      <c r="N5" s="25"/>
      <c r="O5" s="25"/>
      <c r="P5" s="26"/>
      <c r="Q5" s="27"/>
      <c r="R5" s="58"/>
      <c r="S5" s="25"/>
      <c r="T5" s="27"/>
      <c r="U5" s="27"/>
      <c r="V5" s="27"/>
      <c r="W5" s="28"/>
      <c r="X5" s="27"/>
      <c r="Y5" s="58"/>
      <c r="Z5" s="25"/>
      <c r="AA5" s="25"/>
      <c r="AB5" s="27"/>
      <c r="AC5" s="27"/>
      <c r="AD5" s="27"/>
      <c r="AE5" s="28"/>
      <c r="AF5" s="27"/>
      <c r="AG5" s="58"/>
      <c r="AH5" s="25"/>
      <c r="AI5" s="27"/>
      <c r="AJ5" s="27"/>
      <c r="AK5" s="27"/>
      <c r="AL5" s="28"/>
      <c r="AM5" s="27"/>
      <c r="AN5" s="58"/>
      <c r="AO5" s="25"/>
      <c r="AP5" s="25"/>
      <c r="AQ5" s="27"/>
      <c r="AR5" s="27"/>
      <c r="AS5" s="27"/>
      <c r="AT5" s="28"/>
    </row>
    <row r="6" spans="1:46" x14ac:dyDescent="0.25">
      <c r="A6" s="18" t="s">
        <v>25</v>
      </c>
      <c r="B6" s="27"/>
      <c r="C6" s="67">
        <f>'1. RH fluctuations'!D9</f>
        <v>45</v>
      </c>
      <c r="D6" s="27" t="s">
        <v>2</v>
      </c>
      <c r="E6" s="27"/>
      <c r="F6" s="27"/>
      <c r="G6" s="27"/>
      <c r="H6" s="27"/>
      <c r="I6" s="28"/>
      <c r="J6" s="27"/>
      <c r="K6" s="37" t="s">
        <v>59</v>
      </c>
      <c r="L6" s="36"/>
      <c r="M6" s="36"/>
      <c r="N6" s="41" t="s">
        <v>59</v>
      </c>
      <c r="O6" s="27" t="s">
        <v>60</v>
      </c>
      <c r="P6" s="50" t="s">
        <v>53</v>
      </c>
      <c r="Q6" s="27"/>
      <c r="R6" s="37" t="s">
        <v>58</v>
      </c>
      <c r="S6" s="36"/>
      <c r="T6" s="36"/>
      <c r="U6" s="41" t="s">
        <v>55</v>
      </c>
      <c r="V6" s="41" t="s">
        <v>54</v>
      </c>
      <c r="W6" s="45" t="s">
        <v>53</v>
      </c>
      <c r="X6" s="27"/>
      <c r="Y6" s="37" t="s">
        <v>58</v>
      </c>
      <c r="Z6" s="36"/>
      <c r="AA6" s="36"/>
      <c r="AB6" s="41" t="s">
        <v>54</v>
      </c>
      <c r="AC6" s="41" t="s">
        <v>53</v>
      </c>
      <c r="AD6" s="74" t="s">
        <v>77</v>
      </c>
      <c r="AE6" s="75" t="s">
        <v>76</v>
      </c>
      <c r="AF6" s="27"/>
      <c r="AG6" s="37" t="s">
        <v>58</v>
      </c>
      <c r="AH6" s="36"/>
      <c r="AI6" s="36"/>
      <c r="AJ6" s="41" t="s">
        <v>55</v>
      </c>
      <c r="AK6" s="41" t="s">
        <v>54</v>
      </c>
      <c r="AL6" s="45" t="s">
        <v>53</v>
      </c>
      <c r="AM6" s="27"/>
      <c r="AN6" s="37" t="s">
        <v>58</v>
      </c>
      <c r="AO6" s="36"/>
      <c r="AP6" s="36"/>
      <c r="AQ6" s="41" t="s">
        <v>54</v>
      </c>
      <c r="AR6" s="41" t="s">
        <v>53</v>
      </c>
      <c r="AS6" s="74" t="s">
        <v>77</v>
      </c>
      <c r="AT6" s="75" t="s">
        <v>76</v>
      </c>
    </row>
    <row r="7" spans="1:46" x14ac:dyDescent="0.25">
      <c r="A7" s="18" t="s">
        <v>62</v>
      </c>
      <c r="B7" s="27"/>
      <c r="C7" s="67">
        <f>'1. RH fluctuations'!D10</f>
        <v>65</v>
      </c>
      <c r="D7" s="6" t="s">
        <v>2</v>
      </c>
      <c r="E7" s="27"/>
      <c r="F7" s="27"/>
      <c r="G7" s="27"/>
      <c r="H7" s="27"/>
      <c r="I7" s="28"/>
      <c r="J7" s="27"/>
      <c r="K7" s="37" t="s">
        <v>47</v>
      </c>
      <c r="L7" s="42" t="s">
        <v>87</v>
      </c>
      <c r="M7" s="52">
        <f>Intermediate!C9*100</f>
        <v>20</v>
      </c>
      <c r="N7" s="43">
        <f t="shared" ref="N7:N38" si="0">M$7 * SIN(M$8*(P7 - M$9)) + M$10</f>
        <v>45.344263545171287</v>
      </c>
      <c r="O7" s="43">
        <f t="shared" ref="O7:O38" si="1">M$13 * SIN(M$14*(P7 - M$15)) + M$16</f>
        <v>45.086065886292822</v>
      </c>
      <c r="P7" s="51">
        <v>1</v>
      </c>
      <c r="Q7" s="27"/>
      <c r="R7" s="37" t="s">
        <v>47</v>
      </c>
      <c r="S7" s="89" t="s">
        <v>87</v>
      </c>
      <c r="T7" s="81">
        <f>C16*100</f>
        <v>10</v>
      </c>
      <c r="U7" s="43">
        <f t="shared" ref="U7:U67" si="2">T$7 * SIN(T$8*(W7 - T$9)) + T$10</f>
        <v>50</v>
      </c>
      <c r="V7" s="36">
        <v>0</v>
      </c>
      <c r="W7" s="63">
        <f>R$4*(V7*R$4/60/R$4)</f>
        <v>0</v>
      </c>
      <c r="X7" s="27"/>
      <c r="Y7" s="37" t="s">
        <v>47</v>
      </c>
      <c r="Z7" s="89" t="s">
        <v>87</v>
      </c>
      <c r="AA7" s="43">
        <f>C20/2</f>
        <v>3.3333333333333339</v>
      </c>
      <c r="AB7" s="36">
        <v>0</v>
      </c>
      <c r="AC7" s="82">
        <f>R$4*(AB7*R$4/60/R$4)</f>
        <v>0</v>
      </c>
      <c r="AD7" s="73">
        <f t="shared" ref="AD7:AD38" si="3">((Y$4-Y$3)/R$4)*AC7+Y$3</f>
        <v>20</v>
      </c>
      <c r="AE7" s="76">
        <f>AA$7 * SIN(AA$8*(AC7 - AA$9)) + AD7</f>
        <v>20</v>
      </c>
      <c r="AF7" s="27"/>
      <c r="AG7" s="37" t="s">
        <v>47</v>
      </c>
      <c r="AH7" s="89" t="s">
        <v>87</v>
      </c>
      <c r="AI7" s="90">
        <f>C27*100</f>
        <v>8</v>
      </c>
      <c r="AJ7" s="43">
        <f>AI$7 * SIN(AI$8*(AL7 - AI$9)) + AI$10</f>
        <v>30</v>
      </c>
      <c r="AK7" s="36">
        <v>0</v>
      </c>
      <c r="AL7" s="63">
        <f>AG$4*(AK7*AG$4/60/AG$4)</f>
        <v>0</v>
      </c>
      <c r="AM7" s="27"/>
      <c r="AN7" s="37" t="s">
        <v>47</v>
      </c>
      <c r="AO7" s="89" t="s">
        <v>87</v>
      </c>
      <c r="AP7" s="43">
        <f>C31/2</f>
        <v>2.6666666666666661</v>
      </c>
      <c r="AQ7" s="36">
        <v>0</v>
      </c>
      <c r="AR7" s="82">
        <f>AG$4*(AQ7*AG$4/60/AG$4)</f>
        <v>0</v>
      </c>
      <c r="AS7" s="73">
        <f t="shared" ref="AS7:AS38" si="4">((AN$4-AN$3)/AG$4)*AR7+AN$3</f>
        <v>60</v>
      </c>
      <c r="AT7" s="76">
        <f t="shared" ref="AT7:AT67" si="5">AP$7 * SIN(AP$8*(AR7 - AP$9)) + AS7</f>
        <v>60</v>
      </c>
    </row>
    <row r="8" spans="1:46" x14ac:dyDescent="0.25">
      <c r="A8" s="18" t="s">
        <v>63</v>
      </c>
      <c r="B8" s="27"/>
      <c r="C8" s="67">
        <f>'1. RH fluctuations'!D11</f>
        <v>25</v>
      </c>
      <c r="D8" s="6" t="s">
        <v>2</v>
      </c>
      <c r="E8" s="27"/>
      <c r="F8" s="27"/>
      <c r="G8" s="27"/>
      <c r="H8" s="27"/>
      <c r="I8" s="28"/>
      <c r="J8" s="27"/>
      <c r="K8" s="37" t="s">
        <v>48</v>
      </c>
      <c r="L8" s="42" t="s">
        <v>50</v>
      </c>
      <c r="M8" s="62">
        <f>2*3.14156/365</f>
        <v>1.7214027397260273E-2</v>
      </c>
      <c r="N8" s="43">
        <f t="shared" si="0"/>
        <v>46.032382623350443</v>
      </c>
      <c r="O8" s="43">
        <f t="shared" si="1"/>
        <v>45.258095655837607</v>
      </c>
      <c r="P8" s="51">
        <v>3</v>
      </c>
      <c r="Q8" s="27"/>
      <c r="R8" s="37" t="s">
        <v>48</v>
      </c>
      <c r="S8" s="42" t="s">
        <v>50</v>
      </c>
      <c r="T8" s="36">
        <v>40</v>
      </c>
      <c r="U8" s="43">
        <f t="shared" si="2"/>
        <v>40.061113460766251</v>
      </c>
      <c r="V8" s="36">
        <f>V7+1</f>
        <v>1</v>
      </c>
      <c r="W8" s="63">
        <f t="shared" ref="W8:W67" si="6">R$4*(V8*R$4/60/R$4)</f>
        <v>2</v>
      </c>
      <c r="X8" s="27"/>
      <c r="Y8" s="37" t="s">
        <v>48</v>
      </c>
      <c r="Z8" s="42" t="s">
        <v>50</v>
      </c>
      <c r="AA8" s="36">
        <v>40</v>
      </c>
      <c r="AB8" s="36">
        <f>AB7+1</f>
        <v>1</v>
      </c>
      <c r="AC8" s="82">
        <f t="shared" ref="AC8:AC67" si="7">R$4*(AB8*R$4/60/R$4)</f>
        <v>2</v>
      </c>
      <c r="AD8" s="73">
        <f t="shared" si="3"/>
        <v>20.166666666666668</v>
      </c>
      <c r="AE8" s="76">
        <f t="shared" ref="AE8:AE67" si="8">AA$7 * SIN(AA$8*(AC8 - AA$9)) + AD8</f>
        <v>16.853704486922084</v>
      </c>
      <c r="AF8" s="27"/>
      <c r="AG8" s="37" t="s">
        <v>48</v>
      </c>
      <c r="AH8" s="42" t="s">
        <v>50</v>
      </c>
      <c r="AI8" s="36">
        <v>40</v>
      </c>
      <c r="AJ8" s="43">
        <f>AI$7 * SIN(AI$8*(AL8 - AI$9)) + AI$10</f>
        <v>22.048890768612999</v>
      </c>
      <c r="AK8" s="36">
        <f>AK7+1</f>
        <v>1</v>
      </c>
      <c r="AL8" s="63">
        <f>AG$4*(AK8*AG$4/60/AG$4)</f>
        <v>2</v>
      </c>
      <c r="AM8" s="27"/>
      <c r="AN8" s="37" t="s">
        <v>48</v>
      </c>
      <c r="AO8" s="42" t="s">
        <v>50</v>
      </c>
      <c r="AP8" s="36">
        <v>40</v>
      </c>
      <c r="AQ8" s="36">
        <f>AQ7+1</f>
        <v>1</v>
      </c>
      <c r="AR8" s="82">
        <f t="shared" ref="AR8:AR67" si="9">AG$4*(AQ8*AG$4/60/AG$4)</f>
        <v>2</v>
      </c>
      <c r="AS8" s="73">
        <f t="shared" si="4"/>
        <v>59.833333333333336</v>
      </c>
      <c r="AT8" s="76">
        <f t="shared" si="5"/>
        <v>57.182963589537671</v>
      </c>
    </row>
    <row r="9" spans="1:46" x14ac:dyDescent="0.25">
      <c r="A9" s="70" t="s">
        <v>19</v>
      </c>
      <c r="B9" s="13" t="s">
        <v>78</v>
      </c>
      <c r="C9" s="68">
        <f>IF((C7-C6)&gt;(C6-C8), (C7-C6), (C6-C8))/100</f>
        <v>0.2</v>
      </c>
      <c r="D9" s="6" t="s">
        <v>4</v>
      </c>
      <c r="E9" s="27" t="s">
        <v>64</v>
      </c>
      <c r="F9" s="27"/>
      <c r="G9" s="27"/>
      <c r="H9" s="27"/>
      <c r="I9" s="28"/>
      <c r="J9" s="27"/>
      <c r="K9" s="37" t="s">
        <v>18</v>
      </c>
      <c r="L9" s="42" t="s">
        <v>51</v>
      </c>
      <c r="M9" s="36">
        <v>0</v>
      </c>
      <c r="N9" s="43">
        <f t="shared" si="0"/>
        <v>46.719278148604722</v>
      </c>
      <c r="O9" s="43">
        <f t="shared" si="1"/>
        <v>45.429819537151182</v>
      </c>
      <c r="P9" s="51">
        <v>5</v>
      </c>
      <c r="Q9" s="27"/>
      <c r="R9" s="37" t="s">
        <v>18</v>
      </c>
      <c r="S9" s="42" t="s">
        <v>51</v>
      </c>
      <c r="T9" s="36">
        <v>0</v>
      </c>
      <c r="U9" s="43">
        <f t="shared" si="2"/>
        <v>52.194252583790046</v>
      </c>
      <c r="V9" s="36">
        <f t="shared" ref="V9:V67" si="10">V8+1</f>
        <v>2</v>
      </c>
      <c r="W9" s="63">
        <f t="shared" si="6"/>
        <v>4</v>
      </c>
      <c r="X9" s="27"/>
      <c r="Y9" s="37" t="s">
        <v>18</v>
      </c>
      <c r="Z9" s="42" t="s">
        <v>51</v>
      </c>
      <c r="AA9" s="36">
        <v>0</v>
      </c>
      <c r="AB9" s="36">
        <f t="shared" ref="AB9:AB67" si="11">AB8+1</f>
        <v>2</v>
      </c>
      <c r="AC9" s="82">
        <f t="shared" si="7"/>
        <v>4</v>
      </c>
      <c r="AD9" s="73">
        <f t="shared" si="3"/>
        <v>20.333333333333332</v>
      </c>
      <c r="AE9" s="76">
        <f t="shared" si="8"/>
        <v>21.064750861263349</v>
      </c>
      <c r="AF9" s="27"/>
      <c r="AG9" s="37" t="s">
        <v>18</v>
      </c>
      <c r="AH9" s="42" t="s">
        <v>51</v>
      </c>
      <c r="AI9" s="36">
        <v>0</v>
      </c>
      <c r="AJ9" s="43">
        <f t="shared" ref="AJ9:AJ67" si="12">AI$7 * SIN(AI$8*(AL9 - AI$9)) + AI$10</f>
        <v>31.755402067032037</v>
      </c>
      <c r="AK9" s="36">
        <f t="shared" ref="AK9:AK67" si="13">AK8+1</f>
        <v>2</v>
      </c>
      <c r="AL9" s="63">
        <f t="shared" ref="AL9:AL67" si="14">AG$4*(AK9*AG$4/60/AG$4)</f>
        <v>4</v>
      </c>
      <c r="AM9" s="27"/>
      <c r="AN9" s="37" t="s">
        <v>18</v>
      </c>
      <c r="AO9" s="42" t="s">
        <v>51</v>
      </c>
      <c r="AP9" s="36">
        <v>0</v>
      </c>
      <c r="AQ9" s="36">
        <f t="shared" ref="AQ9:AQ67" si="15">AQ8+1</f>
        <v>2</v>
      </c>
      <c r="AR9" s="82">
        <f t="shared" si="9"/>
        <v>4</v>
      </c>
      <c r="AS9" s="73">
        <f t="shared" si="4"/>
        <v>59.666666666666664</v>
      </c>
      <c r="AT9" s="76">
        <f t="shared" si="5"/>
        <v>60.251800689010679</v>
      </c>
    </row>
    <row r="10" spans="1:46" x14ac:dyDescent="0.25">
      <c r="A10" s="18"/>
      <c r="B10" s="27"/>
      <c r="C10" s="27"/>
      <c r="D10" s="27"/>
      <c r="E10" s="27"/>
      <c r="F10" s="27"/>
      <c r="G10" s="27"/>
      <c r="H10" s="27"/>
      <c r="I10" s="28"/>
      <c r="J10" s="27"/>
      <c r="K10" s="37" t="s">
        <v>19</v>
      </c>
      <c r="L10" s="42" t="s">
        <v>52</v>
      </c>
      <c r="M10" s="38">
        <f>L4</f>
        <v>45</v>
      </c>
      <c r="N10" s="43">
        <f t="shared" si="0"/>
        <v>47.404136030295646</v>
      </c>
      <c r="O10" s="43">
        <f t="shared" si="1"/>
        <v>45.601034007573915</v>
      </c>
      <c r="P10" s="51">
        <v>7</v>
      </c>
      <c r="Q10" s="27"/>
      <c r="R10" s="37" t="s">
        <v>19</v>
      </c>
      <c r="S10" s="42" t="s">
        <v>52</v>
      </c>
      <c r="T10" s="38">
        <f>'2. Keep RH low'!$D$12</f>
        <v>50</v>
      </c>
      <c r="U10" s="43">
        <f t="shared" si="2"/>
        <v>59.454451549211171</v>
      </c>
      <c r="V10" s="36">
        <f t="shared" si="10"/>
        <v>3</v>
      </c>
      <c r="W10" s="63">
        <f t="shared" si="6"/>
        <v>6</v>
      </c>
      <c r="X10" s="27"/>
      <c r="Y10" s="37" t="s">
        <v>19</v>
      </c>
      <c r="Z10" s="42" t="s">
        <v>52</v>
      </c>
      <c r="AA10" s="54"/>
      <c r="AB10" s="36">
        <f t="shared" si="11"/>
        <v>3</v>
      </c>
      <c r="AC10" s="82">
        <f t="shared" si="7"/>
        <v>6</v>
      </c>
      <c r="AD10" s="73">
        <f t="shared" si="3"/>
        <v>20.5</v>
      </c>
      <c r="AE10" s="76">
        <f t="shared" si="8"/>
        <v>23.651483849737055</v>
      </c>
      <c r="AF10" s="27"/>
      <c r="AG10" s="37" t="s">
        <v>19</v>
      </c>
      <c r="AH10" s="42" t="s">
        <v>52</v>
      </c>
      <c r="AI10" s="40">
        <f>'3. Keep RH high'!D12</f>
        <v>30</v>
      </c>
      <c r="AJ10" s="43">
        <f t="shared" si="12"/>
        <v>37.563561239368937</v>
      </c>
      <c r="AK10" s="36">
        <f t="shared" si="13"/>
        <v>3</v>
      </c>
      <c r="AL10" s="63">
        <f t="shared" si="14"/>
        <v>6</v>
      </c>
      <c r="AM10" s="27"/>
      <c r="AN10" s="37" t="s">
        <v>19</v>
      </c>
      <c r="AO10" s="42" t="s">
        <v>52</v>
      </c>
      <c r="AP10" s="54"/>
      <c r="AQ10" s="36">
        <f t="shared" si="15"/>
        <v>3</v>
      </c>
      <c r="AR10" s="82">
        <f t="shared" si="9"/>
        <v>6</v>
      </c>
      <c r="AS10" s="73">
        <f t="shared" si="4"/>
        <v>59.5</v>
      </c>
      <c r="AT10" s="76">
        <f t="shared" si="5"/>
        <v>62.021187079789641</v>
      </c>
    </row>
    <row r="11" spans="1:46" x14ac:dyDescent="0.25">
      <c r="A11" s="30" t="s">
        <v>30</v>
      </c>
      <c r="B11" s="27"/>
      <c r="C11" s="6"/>
      <c r="D11" s="27"/>
      <c r="E11" s="27"/>
      <c r="F11" s="27"/>
      <c r="G11" s="27"/>
      <c r="H11" s="27"/>
      <c r="I11" s="28"/>
      <c r="J11" s="27"/>
      <c r="K11" s="37"/>
      <c r="L11" s="36"/>
      <c r="M11" s="36"/>
      <c r="N11" s="43">
        <f t="shared" si="0"/>
        <v>48.086144592746663</v>
      </c>
      <c r="O11" s="43">
        <f t="shared" si="1"/>
        <v>45.771536148186669</v>
      </c>
      <c r="P11" s="51">
        <v>9</v>
      </c>
      <c r="Q11" s="27"/>
      <c r="R11" s="37"/>
      <c r="S11" s="36"/>
      <c r="T11" s="36"/>
      <c r="U11" s="43">
        <f t="shared" si="2"/>
        <v>45.718445719155483</v>
      </c>
      <c r="V11" s="36">
        <f t="shared" si="10"/>
        <v>4</v>
      </c>
      <c r="W11" s="63">
        <f t="shared" si="6"/>
        <v>8</v>
      </c>
      <c r="X11" s="27"/>
      <c r="Y11" s="37"/>
      <c r="Z11" s="36"/>
      <c r="AA11" s="36"/>
      <c r="AB11" s="36">
        <f t="shared" si="11"/>
        <v>4</v>
      </c>
      <c r="AC11" s="82">
        <f t="shared" si="7"/>
        <v>8</v>
      </c>
      <c r="AD11" s="73">
        <f t="shared" si="3"/>
        <v>20.666666666666668</v>
      </c>
      <c r="AE11" s="76">
        <f t="shared" si="8"/>
        <v>19.239481906385162</v>
      </c>
      <c r="AF11" s="27"/>
      <c r="AG11" s="37"/>
      <c r="AH11" s="36"/>
      <c r="AI11" s="36"/>
      <c r="AJ11" s="43">
        <f t="shared" si="12"/>
        <v>26.574756575324386</v>
      </c>
      <c r="AK11" s="36">
        <f t="shared" si="13"/>
        <v>4</v>
      </c>
      <c r="AL11" s="63">
        <f t="shared" si="14"/>
        <v>8</v>
      </c>
      <c r="AM11" s="27"/>
      <c r="AN11" s="37"/>
      <c r="AO11" s="36"/>
      <c r="AP11" s="36"/>
      <c r="AQ11" s="36">
        <f t="shared" si="15"/>
        <v>4</v>
      </c>
      <c r="AR11" s="82">
        <f t="shared" si="9"/>
        <v>8</v>
      </c>
      <c r="AS11" s="73">
        <f t="shared" si="4"/>
        <v>59.333333333333336</v>
      </c>
      <c r="AT11" s="76">
        <f t="shared" si="5"/>
        <v>58.191585525108131</v>
      </c>
    </row>
    <row r="12" spans="1:46" x14ac:dyDescent="0.25">
      <c r="A12" s="11" t="s">
        <v>13</v>
      </c>
      <c r="B12" s="10" t="s">
        <v>15</v>
      </c>
      <c r="C12" s="65" t="s">
        <v>16</v>
      </c>
      <c r="D12" s="10" t="s">
        <v>17</v>
      </c>
      <c r="E12" s="10" t="s">
        <v>14</v>
      </c>
      <c r="F12" s="27"/>
      <c r="G12" s="27"/>
      <c r="H12" s="27"/>
      <c r="I12" s="28"/>
      <c r="J12" s="27"/>
      <c r="K12" s="37" t="s">
        <v>61</v>
      </c>
      <c r="L12" s="36"/>
      <c r="M12" s="36"/>
      <c r="N12" s="43">
        <f t="shared" si="0"/>
        <v>48.764495537219979</v>
      </c>
      <c r="O12" s="43">
        <f t="shared" si="1"/>
        <v>45.941123884304993</v>
      </c>
      <c r="P12" s="51">
        <v>11</v>
      </c>
      <c r="Q12" s="27"/>
      <c r="R12" s="37"/>
      <c r="S12" s="36"/>
      <c r="T12" s="36"/>
      <c r="U12" s="43">
        <f t="shared" si="2"/>
        <v>41.490806403608232</v>
      </c>
      <c r="V12" s="36">
        <f t="shared" si="10"/>
        <v>5</v>
      </c>
      <c r="W12" s="63">
        <f t="shared" si="6"/>
        <v>10</v>
      </c>
      <c r="X12" s="27"/>
      <c r="Y12" s="37"/>
      <c r="Z12" s="36"/>
      <c r="AA12" s="36"/>
      <c r="AB12" s="36">
        <f t="shared" si="11"/>
        <v>5</v>
      </c>
      <c r="AC12" s="82">
        <f t="shared" si="7"/>
        <v>10</v>
      </c>
      <c r="AD12" s="73">
        <f t="shared" si="3"/>
        <v>20.833333333333332</v>
      </c>
      <c r="AE12" s="76">
        <f t="shared" si="8"/>
        <v>17.99693546786941</v>
      </c>
      <c r="AF12" s="27"/>
      <c r="AG12" s="37"/>
      <c r="AH12" s="36"/>
      <c r="AI12" s="36"/>
      <c r="AJ12" s="43">
        <f t="shared" si="12"/>
        <v>23.192645122886589</v>
      </c>
      <c r="AK12" s="36">
        <f t="shared" si="13"/>
        <v>5</v>
      </c>
      <c r="AL12" s="63">
        <f t="shared" si="14"/>
        <v>10</v>
      </c>
      <c r="AM12" s="27"/>
      <c r="AN12" s="37"/>
      <c r="AO12" s="36"/>
      <c r="AP12" s="36"/>
      <c r="AQ12" s="36">
        <f t="shared" si="15"/>
        <v>5</v>
      </c>
      <c r="AR12" s="82">
        <f t="shared" si="9"/>
        <v>10</v>
      </c>
      <c r="AS12" s="73">
        <f t="shared" si="4"/>
        <v>59.166666666666664</v>
      </c>
      <c r="AT12" s="76">
        <f t="shared" si="5"/>
        <v>56.897548374295525</v>
      </c>
    </row>
    <row r="13" spans="1:46" x14ac:dyDescent="0.25">
      <c r="A13" s="70" t="s">
        <v>33</v>
      </c>
      <c r="B13" s="27"/>
      <c r="C13" s="67">
        <f>'2. Keep RH low'!D12</f>
        <v>50</v>
      </c>
      <c r="D13" s="79" t="s">
        <v>2</v>
      </c>
      <c r="E13" s="27"/>
      <c r="F13" s="27"/>
      <c r="G13" s="27"/>
      <c r="H13" s="27"/>
      <c r="I13" s="28"/>
      <c r="J13" s="27"/>
      <c r="K13" s="37" t="s">
        <v>47</v>
      </c>
      <c r="L13" s="42" t="s">
        <v>49</v>
      </c>
      <c r="M13" s="38">
        <f>'1. RH fluctuations'!$D$16</f>
        <v>5</v>
      </c>
      <c r="N13" s="43">
        <f t="shared" si="0"/>
        <v>49.438384899891098</v>
      </c>
      <c r="O13" s="43">
        <f t="shared" si="1"/>
        <v>46.109596224972776</v>
      </c>
      <c r="P13" s="51">
        <v>13</v>
      </c>
      <c r="Q13" s="27"/>
      <c r="R13" s="37"/>
      <c r="S13" s="80" t="s">
        <v>79</v>
      </c>
      <c r="T13" s="36"/>
      <c r="U13" s="43">
        <f t="shared" si="2"/>
        <v>56.160167137641636</v>
      </c>
      <c r="V13" s="36">
        <f t="shared" si="10"/>
        <v>6</v>
      </c>
      <c r="W13" s="63">
        <f t="shared" si="6"/>
        <v>12</v>
      </c>
      <c r="X13" s="27"/>
      <c r="Y13" s="37"/>
      <c r="Z13" s="80" t="s">
        <v>80</v>
      </c>
      <c r="AA13" s="36"/>
      <c r="AB13" s="36">
        <f t="shared" si="11"/>
        <v>6</v>
      </c>
      <c r="AC13" s="82">
        <f t="shared" si="7"/>
        <v>12</v>
      </c>
      <c r="AD13" s="73">
        <f t="shared" si="3"/>
        <v>21</v>
      </c>
      <c r="AE13" s="76">
        <f t="shared" si="8"/>
        <v>23.053389045880547</v>
      </c>
      <c r="AF13" s="27"/>
      <c r="AG13" s="37"/>
      <c r="AH13" s="80" t="s">
        <v>79</v>
      </c>
      <c r="AI13" s="36"/>
      <c r="AJ13" s="43">
        <f t="shared" si="12"/>
        <v>34.928133710113308</v>
      </c>
      <c r="AK13" s="36">
        <f t="shared" si="13"/>
        <v>6</v>
      </c>
      <c r="AL13" s="63">
        <f t="shared" si="14"/>
        <v>12</v>
      </c>
      <c r="AM13" s="27"/>
      <c r="AN13" s="37"/>
      <c r="AO13" s="80" t="s">
        <v>80</v>
      </c>
      <c r="AP13" s="36"/>
      <c r="AQ13" s="36">
        <f t="shared" si="15"/>
        <v>6</v>
      </c>
      <c r="AR13" s="82">
        <f t="shared" si="9"/>
        <v>12</v>
      </c>
      <c r="AS13" s="73">
        <f t="shared" si="4"/>
        <v>59</v>
      </c>
      <c r="AT13" s="76">
        <f t="shared" si="5"/>
        <v>60.642711236704436</v>
      </c>
    </row>
    <row r="14" spans="1:46" x14ac:dyDescent="0.25">
      <c r="A14" s="129" t="s">
        <v>74</v>
      </c>
      <c r="B14" s="27"/>
      <c r="C14" s="67">
        <f>'2. Keep RH low'!D13</f>
        <v>60</v>
      </c>
      <c r="D14" s="79" t="s">
        <v>2</v>
      </c>
      <c r="E14" s="27"/>
      <c r="F14" s="27"/>
      <c r="G14" s="27"/>
      <c r="H14" s="27"/>
      <c r="I14" s="28"/>
      <c r="J14" s="27"/>
      <c r="K14" s="37" t="s">
        <v>48</v>
      </c>
      <c r="L14" s="42" t="s">
        <v>50</v>
      </c>
      <c r="M14" s="62">
        <f>2*3.14156/365</f>
        <v>1.7214027397260273E-2</v>
      </c>
      <c r="N14" s="43">
        <f t="shared" si="0"/>
        <v>50.107014004685787</v>
      </c>
      <c r="O14" s="43">
        <f t="shared" si="1"/>
        <v>46.276753501171449</v>
      </c>
      <c r="P14" s="51">
        <v>15</v>
      </c>
      <c r="Q14" s="27"/>
      <c r="R14" s="37"/>
      <c r="S14" s="36"/>
      <c r="T14" s="36"/>
      <c r="U14" s="43">
        <f t="shared" si="2"/>
        <v>57.149185852567499</v>
      </c>
      <c r="V14" s="36">
        <f t="shared" si="10"/>
        <v>7</v>
      </c>
      <c r="W14" s="63">
        <f t="shared" si="6"/>
        <v>14</v>
      </c>
      <c r="X14" s="27"/>
      <c r="Y14" s="37"/>
      <c r="Z14" s="36"/>
      <c r="AA14" s="36"/>
      <c r="AB14" s="36">
        <f t="shared" si="11"/>
        <v>7</v>
      </c>
      <c r="AC14" s="82">
        <f t="shared" si="7"/>
        <v>14</v>
      </c>
      <c r="AD14" s="73">
        <f t="shared" si="3"/>
        <v>21.166666666666668</v>
      </c>
      <c r="AE14" s="76">
        <f t="shared" si="8"/>
        <v>23.549728617522501</v>
      </c>
      <c r="AF14" s="27"/>
      <c r="AG14" s="37"/>
      <c r="AH14" s="36"/>
      <c r="AI14" s="36"/>
      <c r="AJ14" s="43">
        <f t="shared" si="12"/>
        <v>35.719348682053997</v>
      </c>
      <c r="AK14" s="36">
        <f t="shared" si="13"/>
        <v>7</v>
      </c>
      <c r="AL14" s="63">
        <f t="shared" si="14"/>
        <v>14</v>
      </c>
      <c r="AM14" s="27"/>
      <c r="AN14" s="37"/>
      <c r="AO14" s="36"/>
      <c r="AP14" s="36"/>
      <c r="AQ14" s="36">
        <f t="shared" si="15"/>
        <v>7</v>
      </c>
      <c r="AR14" s="82">
        <f t="shared" si="9"/>
        <v>14</v>
      </c>
      <c r="AS14" s="73">
        <f t="shared" si="4"/>
        <v>58.833333333333336</v>
      </c>
      <c r="AT14" s="76">
        <f t="shared" si="5"/>
        <v>60.739782894017999</v>
      </c>
    </row>
    <row r="15" spans="1:46" x14ac:dyDescent="0.25">
      <c r="A15" s="129" t="s">
        <v>75</v>
      </c>
      <c r="B15" s="27"/>
      <c r="C15" s="67">
        <f>'2. Keep RH low'!D14</f>
        <v>40</v>
      </c>
      <c r="D15" s="79" t="s">
        <v>2</v>
      </c>
      <c r="E15" s="27"/>
      <c r="F15" s="27"/>
      <c r="G15" s="27"/>
      <c r="H15" s="27"/>
      <c r="I15" s="28"/>
      <c r="J15" s="27"/>
      <c r="K15" s="37" t="s">
        <v>18</v>
      </c>
      <c r="L15" s="42" t="s">
        <v>51</v>
      </c>
      <c r="M15" s="36">
        <v>0</v>
      </c>
      <c r="N15" s="43">
        <f t="shared" si="0"/>
        <v>50.769590409850068</v>
      </c>
      <c r="O15" s="43">
        <f t="shared" si="1"/>
        <v>46.442397602462513</v>
      </c>
      <c r="P15" s="51">
        <v>17</v>
      </c>
      <c r="Q15" s="27"/>
      <c r="R15" s="37"/>
      <c r="S15" s="36"/>
      <c r="T15" s="36"/>
      <c r="U15" s="43">
        <f t="shared" si="2"/>
        <v>42.26147501844229</v>
      </c>
      <c r="V15" s="36">
        <f t="shared" si="10"/>
        <v>8</v>
      </c>
      <c r="W15" s="63">
        <f t="shared" si="6"/>
        <v>16</v>
      </c>
      <c r="X15" s="27"/>
      <c r="Y15" s="37"/>
      <c r="Z15" s="36"/>
      <c r="AA15" s="36"/>
      <c r="AB15" s="36">
        <f t="shared" si="11"/>
        <v>8</v>
      </c>
      <c r="AC15" s="82">
        <f t="shared" si="7"/>
        <v>16</v>
      </c>
      <c r="AD15" s="73">
        <f t="shared" si="3"/>
        <v>21.333333333333332</v>
      </c>
      <c r="AE15" s="76">
        <f t="shared" si="8"/>
        <v>18.75382500614743</v>
      </c>
      <c r="AF15" s="27"/>
      <c r="AG15" s="37"/>
      <c r="AH15" s="36"/>
      <c r="AI15" s="36"/>
      <c r="AJ15" s="43">
        <f t="shared" si="12"/>
        <v>23.809180014753832</v>
      </c>
      <c r="AK15" s="36">
        <f t="shared" si="13"/>
        <v>8</v>
      </c>
      <c r="AL15" s="63">
        <f t="shared" si="14"/>
        <v>16</v>
      </c>
      <c r="AM15" s="27"/>
      <c r="AN15" s="37"/>
      <c r="AO15" s="36"/>
      <c r="AP15" s="36"/>
      <c r="AQ15" s="36">
        <f t="shared" si="15"/>
        <v>8</v>
      </c>
      <c r="AR15" s="82">
        <f t="shared" si="9"/>
        <v>16</v>
      </c>
      <c r="AS15" s="73">
        <f t="shared" si="4"/>
        <v>58.666666666666664</v>
      </c>
      <c r="AT15" s="76">
        <f t="shared" si="5"/>
        <v>56.603060004917943</v>
      </c>
    </row>
    <row r="16" spans="1:46" x14ac:dyDescent="0.25">
      <c r="A16" s="129" t="s">
        <v>19</v>
      </c>
      <c r="B16" s="13" t="s">
        <v>78</v>
      </c>
      <c r="C16" s="68">
        <f>IF((C14-C13)&gt;(C13-C15), (C14-C13), (C13-C15))/100</f>
        <v>0.1</v>
      </c>
      <c r="D16" s="79" t="s">
        <v>4</v>
      </c>
      <c r="E16" s="27" t="s">
        <v>64</v>
      </c>
      <c r="F16" s="27"/>
      <c r="G16" s="27"/>
      <c r="H16" s="27"/>
      <c r="I16" s="28"/>
      <c r="J16" s="27"/>
      <c r="K16" s="37" t="s">
        <v>19</v>
      </c>
      <c r="L16" s="42" t="s">
        <v>52</v>
      </c>
      <c r="M16" s="38">
        <f>L3</f>
        <v>45</v>
      </c>
      <c r="N16" s="43">
        <f t="shared" si="0"/>
        <v>51.425328847131482</v>
      </c>
      <c r="O16" s="43">
        <f t="shared" si="1"/>
        <v>46.60633221178287</v>
      </c>
      <c r="P16" s="51">
        <v>19</v>
      </c>
      <c r="Q16" s="27"/>
      <c r="R16" s="37"/>
      <c r="S16" s="36"/>
      <c r="T16" s="36"/>
      <c r="U16" s="43">
        <f t="shared" si="2"/>
        <v>44.559283035620048</v>
      </c>
      <c r="V16" s="36">
        <f t="shared" si="10"/>
        <v>9</v>
      </c>
      <c r="W16" s="63">
        <f t="shared" si="6"/>
        <v>18</v>
      </c>
      <c r="X16" s="27"/>
      <c r="Y16" s="37"/>
      <c r="Z16" s="36"/>
      <c r="AA16" s="36"/>
      <c r="AB16" s="36">
        <f t="shared" si="11"/>
        <v>9</v>
      </c>
      <c r="AC16" s="82">
        <f t="shared" si="7"/>
        <v>18</v>
      </c>
      <c r="AD16" s="73">
        <f t="shared" si="3"/>
        <v>21.5</v>
      </c>
      <c r="AE16" s="76">
        <f t="shared" si="8"/>
        <v>19.686427678540017</v>
      </c>
      <c r="AF16" s="27"/>
      <c r="AG16" s="37"/>
      <c r="AH16" s="36"/>
      <c r="AI16" s="36"/>
      <c r="AJ16" s="43">
        <f t="shared" si="12"/>
        <v>25.64742642849604</v>
      </c>
      <c r="AK16" s="36">
        <f t="shared" si="13"/>
        <v>9</v>
      </c>
      <c r="AL16" s="63">
        <f t="shared" si="14"/>
        <v>18</v>
      </c>
      <c r="AM16" s="27"/>
      <c r="AN16" s="37"/>
      <c r="AO16" s="36"/>
      <c r="AP16" s="36"/>
      <c r="AQ16" s="36">
        <f t="shared" si="15"/>
        <v>9</v>
      </c>
      <c r="AR16" s="82">
        <f t="shared" si="9"/>
        <v>18</v>
      </c>
      <c r="AS16" s="73">
        <f t="shared" si="4"/>
        <v>58.5</v>
      </c>
      <c r="AT16" s="76">
        <f t="shared" si="5"/>
        <v>57.049142142832011</v>
      </c>
    </row>
    <row r="17" spans="1:46" x14ac:dyDescent="0.25">
      <c r="A17" s="70" t="s">
        <v>28</v>
      </c>
      <c r="B17" s="5" t="s">
        <v>19</v>
      </c>
      <c r="C17" s="66">
        <f>('2. Keep RH low'!D12-'2. Keep RH low'!D9)/100</f>
        <v>0.3</v>
      </c>
      <c r="D17" s="7" t="s">
        <v>4</v>
      </c>
      <c r="E17" s="13" t="s">
        <v>42</v>
      </c>
      <c r="F17" s="27"/>
      <c r="G17" s="27"/>
      <c r="H17" s="27"/>
      <c r="I17" s="28"/>
      <c r="J17" s="27"/>
      <c r="K17" s="37"/>
      <c r="L17" s="36"/>
      <c r="M17" s="36"/>
      <c r="N17" s="43">
        <f t="shared" si="0"/>
        <v>52.073452152458565</v>
      </c>
      <c r="O17" s="43">
        <f t="shared" si="1"/>
        <v>46.768363038114643</v>
      </c>
      <c r="P17" s="51">
        <v>21</v>
      </c>
      <c r="Q17" s="27"/>
      <c r="R17" s="37"/>
      <c r="S17" s="36"/>
      <c r="T17" s="36"/>
      <c r="U17" s="43">
        <f t="shared" si="2"/>
        <v>58.939696481970216</v>
      </c>
      <c r="V17" s="36">
        <f t="shared" si="10"/>
        <v>10</v>
      </c>
      <c r="W17" s="63">
        <f t="shared" si="6"/>
        <v>20</v>
      </c>
      <c r="X17" s="27"/>
      <c r="Y17" s="37"/>
      <c r="Z17" s="36"/>
      <c r="AA17" s="36"/>
      <c r="AB17" s="36">
        <f t="shared" si="11"/>
        <v>10</v>
      </c>
      <c r="AC17" s="82">
        <f t="shared" si="7"/>
        <v>20</v>
      </c>
      <c r="AD17" s="73">
        <f t="shared" si="3"/>
        <v>21.666666666666668</v>
      </c>
      <c r="AE17" s="76">
        <f t="shared" si="8"/>
        <v>24.646565493990074</v>
      </c>
      <c r="AF17" s="27"/>
      <c r="AG17" s="37"/>
      <c r="AH17" s="36"/>
      <c r="AI17" s="36"/>
      <c r="AJ17" s="43">
        <f t="shared" si="12"/>
        <v>37.151757185576173</v>
      </c>
      <c r="AK17" s="36">
        <f t="shared" si="13"/>
        <v>10</v>
      </c>
      <c r="AL17" s="63">
        <f t="shared" si="14"/>
        <v>20</v>
      </c>
      <c r="AM17" s="27"/>
      <c r="AN17" s="37"/>
      <c r="AO17" s="36"/>
      <c r="AP17" s="36"/>
      <c r="AQ17" s="36">
        <f t="shared" si="15"/>
        <v>10</v>
      </c>
      <c r="AR17" s="82">
        <f t="shared" si="9"/>
        <v>20</v>
      </c>
      <c r="AS17" s="73">
        <f t="shared" si="4"/>
        <v>58.333333333333336</v>
      </c>
      <c r="AT17" s="76">
        <f t="shared" si="5"/>
        <v>60.717252395192062</v>
      </c>
    </row>
    <row r="18" spans="1:46" x14ac:dyDescent="0.25">
      <c r="A18" s="70" t="s">
        <v>29</v>
      </c>
      <c r="B18" s="13" t="s">
        <v>26</v>
      </c>
      <c r="C18" s="97">
        <f>'2. Keep RH low'!D10-'2. Keep RH low'!D9</f>
        <v>10</v>
      </c>
      <c r="D18" s="8" t="s">
        <v>2</v>
      </c>
      <c r="E18" s="69" t="s">
        <v>43</v>
      </c>
      <c r="F18" s="27"/>
      <c r="G18" s="27"/>
      <c r="H18" s="27"/>
      <c r="I18" s="28"/>
      <c r="K18" s="37"/>
      <c r="L18" s="36"/>
      <c r="M18" s="36"/>
      <c r="N18" s="43">
        <f t="shared" si="0"/>
        <v>52.713192187015359</v>
      </c>
      <c r="O18" s="43">
        <f t="shared" si="1"/>
        <v>46.928298046753838</v>
      </c>
      <c r="P18" s="51">
        <v>23</v>
      </c>
      <c r="Q18" s="27"/>
      <c r="R18" s="37"/>
      <c r="S18" s="36"/>
      <c r="T18" s="36"/>
      <c r="U18" s="43">
        <f t="shared" si="2"/>
        <v>53.46706005357531</v>
      </c>
      <c r="V18" s="36">
        <f t="shared" si="10"/>
        <v>11</v>
      </c>
      <c r="W18" s="63">
        <f t="shared" si="6"/>
        <v>22</v>
      </c>
      <c r="X18" s="27"/>
      <c r="Y18" s="37"/>
      <c r="Z18" s="36"/>
      <c r="AA18" s="36"/>
      <c r="AB18" s="36">
        <f t="shared" si="11"/>
        <v>11</v>
      </c>
      <c r="AC18" s="82">
        <f t="shared" si="7"/>
        <v>22</v>
      </c>
      <c r="AD18" s="73">
        <f t="shared" si="3"/>
        <v>21.833333333333332</v>
      </c>
      <c r="AE18" s="76">
        <f t="shared" si="8"/>
        <v>22.989020017858437</v>
      </c>
      <c r="AF18" s="27"/>
      <c r="AG18" s="37"/>
      <c r="AH18" s="36"/>
      <c r="AI18" s="36"/>
      <c r="AJ18" s="43">
        <f t="shared" si="12"/>
        <v>32.773648042860245</v>
      </c>
      <c r="AK18" s="36">
        <f t="shared" si="13"/>
        <v>11</v>
      </c>
      <c r="AL18" s="63">
        <f t="shared" si="14"/>
        <v>22</v>
      </c>
      <c r="AM18" s="27"/>
      <c r="AN18" s="37"/>
      <c r="AO18" s="36"/>
      <c r="AP18" s="36"/>
      <c r="AQ18" s="36">
        <f t="shared" si="15"/>
        <v>11</v>
      </c>
      <c r="AR18" s="82">
        <f t="shared" si="9"/>
        <v>22</v>
      </c>
      <c r="AS18" s="73">
        <f t="shared" si="4"/>
        <v>58.166666666666664</v>
      </c>
      <c r="AT18" s="76">
        <f t="shared" si="5"/>
        <v>59.091216014286744</v>
      </c>
    </row>
    <row r="19" spans="1:46" ht="16.149999999999999" x14ac:dyDescent="0.35">
      <c r="A19" s="70" t="s">
        <v>3</v>
      </c>
      <c r="B19" s="13" t="s">
        <v>69</v>
      </c>
      <c r="C19" s="12">
        <f>7.36*EXP('2. Keep RH low'!D15/19.96)-2.75</f>
        <v>18.326615192350094</v>
      </c>
      <c r="D19" s="9" t="s">
        <v>7</v>
      </c>
      <c r="E19" s="13" t="s">
        <v>41</v>
      </c>
      <c r="F19" s="27"/>
      <c r="G19" s="27"/>
      <c r="H19" s="27"/>
      <c r="I19" s="28"/>
      <c r="K19" s="18"/>
      <c r="L19" s="36"/>
      <c r="M19" s="36"/>
      <c r="N19" s="43">
        <f t="shared" si="0"/>
        <v>53.343790747619501</v>
      </c>
      <c r="O19" s="43">
        <f t="shared" si="1"/>
        <v>47.085947686904873</v>
      </c>
      <c r="P19" s="51">
        <v>25</v>
      </c>
      <c r="Q19" s="27"/>
      <c r="R19" s="37"/>
      <c r="S19" s="36"/>
      <c r="T19" s="36"/>
      <c r="U19" s="43">
        <f t="shared" si="2"/>
        <v>40.294865110952507</v>
      </c>
      <c r="V19" s="36">
        <f t="shared" si="10"/>
        <v>12</v>
      </c>
      <c r="W19" s="63">
        <f t="shared" si="6"/>
        <v>24</v>
      </c>
      <c r="X19" s="27"/>
      <c r="Y19" s="37"/>
      <c r="Z19" s="36"/>
      <c r="AA19" s="36"/>
      <c r="AB19" s="36">
        <f t="shared" si="11"/>
        <v>12</v>
      </c>
      <c r="AC19" s="82">
        <f t="shared" si="7"/>
        <v>24</v>
      </c>
      <c r="AD19" s="73">
        <f t="shared" si="3"/>
        <v>22</v>
      </c>
      <c r="AE19" s="76">
        <f t="shared" si="8"/>
        <v>18.764955036984169</v>
      </c>
      <c r="AF19" s="27"/>
      <c r="AG19" s="37"/>
      <c r="AH19" s="36"/>
      <c r="AI19" s="36"/>
      <c r="AJ19" s="43">
        <f t="shared" si="12"/>
        <v>22.235892088762007</v>
      </c>
      <c r="AK19" s="36">
        <f t="shared" si="13"/>
        <v>12</v>
      </c>
      <c r="AL19" s="63">
        <f t="shared" si="14"/>
        <v>24</v>
      </c>
      <c r="AM19" s="27"/>
      <c r="AN19" s="37"/>
      <c r="AO19" s="36"/>
      <c r="AP19" s="36"/>
      <c r="AQ19" s="36">
        <f t="shared" si="15"/>
        <v>12</v>
      </c>
      <c r="AR19" s="82">
        <f t="shared" si="9"/>
        <v>24</v>
      </c>
      <c r="AS19" s="73">
        <f t="shared" si="4"/>
        <v>58</v>
      </c>
      <c r="AT19" s="76">
        <f t="shared" si="5"/>
        <v>55.411964029587338</v>
      </c>
    </row>
    <row r="20" spans="1:46" x14ac:dyDescent="0.25">
      <c r="A20" s="70" t="s">
        <v>90</v>
      </c>
      <c r="B20" s="14" t="s">
        <v>73</v>
      </c>
      <c r="C20" s="130">
        <f>(C19*C16*'2. Keep RH low'!D16*'2. Keep RH low'!D17*'2. Keep RH low'!D11) / ('2. Keep RH low'!D34 * '2. Keep RH low'!D36)</f>
        <v>6.6666666666666679</v>
      </c>
      <c r="D20" s="13"/>
      <c r="E20" s="14" t="s">
        <v>88</v>
      </c>
      <c r="F20" s="13"/>
      <c r="G20" s="13"/>
      <c r="H20" s="13"/>
      <c r="I20" s="101"/>
      <c r="J20" s="27"/>
      <c r="K20" s="37"/>
      <c r="L20" s="36"/>
      <c r="M20" s="36"/>
      <c r="N20" s="43">
        <f t="shared" si="0"/>
        <v>53.964500465324832</v>
      </c>
      <c r="O20" s="43">
        <f t="shared" si="1"/>
        <v>47.241125116331204</v>
      </c>
      <c r="P20" s="51">
        <v>27</v>
      </c>
      <c r="Q20" s="27"/>
      <c r="R20" s="37"/>
      <c r="S20" s="36"/>
      <c r="T20" s="36"/>
      <c r="U20" s="43">
        <f t="shared" si="2"/>
        <v>48.675586129400962</v>
      </c>
      <c r="V20" s="36">
        <f t="shared" si="10"/>
        <v>13</v>
      </c>
      <c r="W20" s="63">
        <f t="shared" si="6"/>
        <v>26</v>
      </c>
      <c r="X20" s="27"/>
      <c r="Y20" s="37"/>
      <c r="Z20" s="36"/>
      <c r="AA20" s="36"/>
      <c r="AB20" s="36">
        <f t="shared" si="11"/>
        <v>13</v>
      </c>
      <c r="AC20" s="82">
        <f t="shared" si="7"/>
        <v>26</v>
      </c>
      <c r="AD20" s="73">
        <f t="shared" si="3"/>
        <v>22.166666666666668</v>
      </c>
      <c r="AE20" s="76">
        <f t="shared" si="8"/>
        <v>21.725195376466989</v>
      </c>
      <c r="AF20" s="27"/>
      <c r="AG20" s="37"/>
      <c r="AH20" s="36"/>
      <c r="AI20" s="36"/>
      <c r="AJ20" s="43">
        <f t="shared" si="12"/>
        <v>28.940468903520767</v>
      </c>
      <c r="AK20" s="36">
        <f t="shared" si="13"/>
        <v>13</v>
      </c>
      <c r="AL20" s="63">
        <f t="shared" si="14"/>
        <v>26</v>
      </c>
      <c r="AM20" s="27"/>
      <c r="AN20" s="37"/>
      <c r="AO20" s="36"/>
      <c r="AP20" s="36"/>
      <c r="AQ20" s="36">
        <f t="shared" si="15"/>
        <v>13</v>
      </c>
      <c r="AR20" s="82">
        <f t="shared" si="9"/>
        <v>26</v>
      </c>
      <c r="AS20" s="73">
        <f t="shared" si="4"/>
        <v>57.833333333333336</v>
      </c>
      <c r="AT20" s="76">
        <f t="shared" si="5"/>
        <v>57.480156301173594</v>
      </c>
    </row>
    <row r="21" spans="1:46" x14ac:dyDescent="0.25">
      <c r="A21" s="70"/>
      <c r="B21" s="13"/>
      <c r="C21" s="13"/>
      <c r="D21" s="13"/>
      <c r="E21" s="13"/>
      <c r="F21" s="13"/>
      <c r="G21" s="13"/>
      <c r="H21" s="13"/>
      <c r="I21" s="101"/>
      <c r="J21" s="27"/>
      <c r="K21" s="37"/>
      <c r="L21" s="36"/>
      <c r="M21" s="36"/>
      <c r="N21" s="43">
        <f t="shared" si="0"/>
        <v>54.57458569118355</v>
      </c>
      <c r="O21" s="43">
        <f t="shared" si="1"/>
        <v>47.393646422795889</v>
      </c>
      <c r="P21" s="51">
        <v>29</v>
      </c>
      <c r="Q21" s="27"/>
      <c r="R21" s="37"/>
      <c r="S21" s="36"/>
      <c r="T21" s="36"/>
      <c r="U21" s="43">
        <f t="shared" si="2"/>
        <v>59.997531682802759</v>
      </c>
      <c r="V21" s="36">
        <f t="shared" si="10"/>
        <v>14</v>
      </c>
      <c r="W21" s="63">
        <f t="shared" si="6"/>
        <v>28</v>
      </c>
      <c r="X21" s="27"/>
      <c r="Y21" s="37"/>
      <c r="Z21" s="36"/>
      <c r="AA21" s="36"/>
      <c r="AB21" s="36">
        <f t="shared" si="11"/>
        <v>14</v>
      </c>
      <c r="AC21" s="82">
        <f t="shared" si="7"/>
        <v>28</v>
      </c>
      <c r="AD21" s="73">
        <f t="shared" si="3"/>
        <v>22.333333333333332</v>
      </c>
      <c r="AE21" s="76">
        <f t="shared" si="8"/>
        <v>25.665843894267585</v>
      </c>
      <c r="AF21" s="27"/>
      <c r="AG21" s="37"/>
      <c r="AH21" s="36"/>
      <c r="AI21" s="36"/>
      <c r="AJ21" s="43">
        <f t="shared" si="12"/>
        <v>37.998025346242208</v>
      </c>
      <c r="AK21" s="36">
        <f t="shared" si="13"/>
        <v>14</v>
      </c>
      <c r="AL21" s="63">
        <f t="shared" si="14"/>
        <v>28</v>
      </c>
      <c r="AM21" s="27"/>
      <c r="AN21" s="37"/>
      <c r="AO21" s="36"/>
      <c r="AP21" s="36"/>
      <c r="AQ21" s="36">
        <f t="shared" si="15"/>
        <v>14</v>
      </c>
      <c r="AR21" s="82">
        <f t="shared" si="9"/>
        <v>28</v>
      </c>
      <c r="AS21" s="73">
        <f t="shared" si="4"/>
        <v>57.666666666666664</v>
      </c>
      <c r="AT21" s="76">
        <f t="shared" si="5"/>
        <v>60.332675115414062</v>
      </c>
    </row>
    <row r="22" spans="1:46" ht="14.4" x14ac:dyDescent="0.25">
      <c r="A22" s="31" t="s">
        <v>31</v>
      </c>
      <c r="B22" s="13"/>
      <c r="C22" s="14"/>
      <c r="D22" s="13"/>
      <c r="E22" s="13"/>
      <c r="F22" s="13"/>
      <c r="G22" s="13"/>
      <c r="H22" s="13"/>
      <c r="I22" s="101"/>
      <c r="K22" s="37"/>
      <c r="L22" s="36"/>
      <c r="M22" s="36"/>
      <c r="N22" s="43">
        <f t="shared" si="0"/>
        <v>55.173323368118133</v>
      </c>
      <c r="O22" s="43">
        <f t="shared" si="1"/>
        <v>47.543330842029533</v>
      </c>
      <c r="P22" s="51">
        <v>31</v>
      </c>
      <c r="Q22" s="27"/>
      <c r="R22" s="37"/>
      <c r="S22" s="36"/>
      <c r="T22" s="36"/>
      <c r="U22" s="43">
        <f t="shared" si="2"/>
        <v>49.117213935282741</v>
      </c>
      <c r="V22" s="36">
        <f t="shared" si="10"/>
        <v>15</v>
      </c>
      <c r="W22" s="63">
        <f t="shared" si="6"/>
        <v>30</v>
      </c>
      <c r="X22" s="27"/>
      <c r="Y22" s="37"/>
      <c r="Z22" s="36"/>
      <c r="AA22" s="36"/>
      <c r="AB22" s="36">
        <f t="shared" si="11"/>
        <v>15</v>
      </c>
      <c r="AC22" s="82">
        <f t="shared" si="7"/>
        <v>30</v>
      </c>
      <c r="AD22" s="73">
        <f t="shared" si="3"/>
        <v>22.5</v>
      </c>
      <c r="AE22" s="76">
        <f t="shared" si="8"/>
        <v>22.205737978427578</v>
      </c>
      <c r="AF22" s="27"/>
      <c r="AG22" s="37"/>
      <c r="AH22" s="36"/>
      <c r="AI22" s="36"/>
      <c r="AJ22" s="43">
        <f t="shared" si="12"/>
        <v>29.293771148226192</v>
      </c>
      <c r="AK22" s="36">
        <f t="shared" si="13"/>
        <v>15</v>
      </c>
      <c r="AL22" s="63">
        <f t="shared" si="14"/>
        <v>30</v>
      </c>
      <c r="AM22" s="27"/>
      <c r="AN22" s="37"/>
      <c r="AO22" s="36"/>
      <c r="AP22" s="36"/>
      <c r="AQ22" s="36">
        <f t="shared" si="15"/>
        <v>15</v>
      </c>
      <c r="AR22" s="82">
        <f t="shared" si="9"/>
        <v>30</v>
      </c>
      <c r="AS22" s="73">
        <f t="shared" si="4"/>
        <v>57.5</v>
      </c>
      <c r="AT22" s="76">
        <f t="shared" si="5"/>
        <v>57.264590382742064</v>
      </c>
    </row>
    <row r="23" spans="1:46" x14ac:dyDescent="0.25">
      <c r="A23" s="11" t="s">
        <v>13</v>
      </c>
      <c r="B23" s="10" t="s">
        <v>15</v>
      </c>
      <c r="C23" s="65" t="s">
        <v>16</v>
      </c>
      <c r="D23" s="10" t="s">
        <v>17</v>
      </c>
      <c r="E23" s="10" t="s">
        <v>14</v>
      </c>
      <c r="F23" s="13"/>
      <c r="G23" s="13"/>
      <c r="H23" s="13"/>
      <c r="I23" s="101"/>
      <c r="K23" s="37"/>
      <c r="L23" s="36"/>
      <c r="M23" s="36"/>
      <c r="N23" s="43">
        <f t="shared" si="0"/>
        <v>55.760003887869722</v>
      </c>
      <c r="O23" s="43">
        <f t="shared" si="1"/>
        <v>47.690000971967429</v>
      </c>
      <c r="P23" s="51">
        <v>33</v>
      </c>
      <c r="Q23" s="27"/>
      <c r="R23" s="37"/>
      <c r="S23" s="36"/>
      <c r="T23" s="36"/>
      <c r="U23" s="43">
        <f t="shared" si="2"/>
        <v>40.19736495836456</v>
      </c>
      <c r="V23" s="36">
        <f t="shared" si="10"/>
        <v>16</v>
      </c>
      <c r="W23" s="63">
        <f t="shared" si="6"/>
        <v>32</v>
      </c>
      <c r="X23" s="27"/>
      <c r="Y23" s="37"/>
      <c r="Z23" s="36"/>
      <c r="AA23" s="36"/>
      <c r="AB23" s="36">
        <f t="shared" si="11"/>
        <v>16</v>
      </c>
      <c r="AC23" s="82">
        <f t="shared" si="7"/>
        <v>32</v>
      </c>
      <c r="AD23" s="73">
        <f t="shared" si="3"/>
        <v>22.666666666666668</v>
      </c>
      <c r="AE23" s="76">
        <f t="shared" si="8"/>
        <v>19.399121652788185</v>
      </c>
      <c r="AF23" s="27"/>
      <c r="AG23" s="37"/>
      <c r="AH23" s="36"/>
      <c r="AI23" s="36"/>
      <c r="AJ23" s="43">
        <f t="shared" si="12"/>
        <v>22.157891966691643</v>
      </c>
      <c r="AK23" s="36">
        <f t="shared" si="13"/>
        <v>16</v>
      </c>
      <c r="AL23" s="63">
        <f t="shared" si="14"/>
        <v>32</v>
      </c>
      <c r="AM23" s="27"/>
      <c r="AN23" s="37"/>
      <c r="AO23" s="36"/>
      <c r="AP23" s="36"/>
      <c r="AQ23" s="36">
        <f t="shared" si="15"/>
        <v>16</v>
      </c>
      <c r="AR23" s="82">
        <f t="shared" si="9"/>
        <v>32</v>
      </c>
      <c r="AS23" s="73">
        <f t="shared" si="4"/>
        <v>57.333333333333336</v>
      </c>
      <c r="AT23" s="76">
        <f t="shared" si="5"/>
        <v>54.719297322230553</v>
      </c>
    </row>
    <row r="24" spans="1:46" x14ac:dyDescent="0.25">
      <c r="A24" s="70" t="s">
        <v>33</v>
      </c>
      <c r="B24" s="13"/>
      <c r="C24" s="131">
        <f>'3. Keep RH high'!D12</f>
        <v>30</v>
      </c>
      <c r="D24" s="14" t="s">
        <v>2</v>
      </c>
      <c r="E24" s="13"/>
      <c r="F24" s="13"/>
      <c r="G24" s="13"/>
      <c r="H24" s="13"/>
      <c r="I24" s="101"/>
      <c r="K24" s="37"/>
      <c r="L24" s="36"/>
      <c r="M24" s="36"/>
      <c r="N24" s="43">
        <f t="shared" si="0"/>
        <v>56.333931932007253</v>
      </c>
      <c r="O24" s="43">
        <f t="shared" si="1"/>
        <v>47.833482983001815</v>
      </c>
      <c r="P24" s="51">
        <v>35</v>
      </c>
      <c r="Q24" s="27"/>
      <c r="R24" s="37"/>
      <c r="S24" s="36"/>
      <c r="T24" s="36"/>
      <c r="U24" s="43">
        <f t="shared" si="2"/>
        <v>53.046957793929671</v>
      </c>
      <c r="V24" s="36">
        <f t="shared" si="10"/>
        <v>17</v>
      </c>
      <c r="W24" s="63">
        <f t="shared" si="6"/>
        <v>34</v>
      </c>
      <c r="X24" s="27"/>
      <c r="Y24" s="37"/>
      <c r="Z24" s="36"/>
      <c r="AA24" s="36"/>
      <c r="AB24" s="36">
        <f t="shared" si="11"/>
        <v>17</v>
      </c>
      <c r="AC24" s="82">
        <f t="shared" si="7"/>
        <v>34</v>
      </c>
      <c r="AD24" s="73">
        <f t="shared" si="3"/>
        <v>22.833333333333332</v>
      </c>
      <c r="AE24" s="76">
        <f t="shared" si="8"/>
        <v>23.84898593130989</v>
      </c>
      <c r="AF24" s="27"/>
      <c r="AG24" s="37"/>
      <c r="AH24" s="36"/>
      <c r="AI24" s="36"/>
      <c r="AJ24" s="43">
        <f t="shared" si="12"/>
        <v>32.437566235143734</v>
      </c>
      <c r="AK24" s="36">
        <f t="shared" si="13"/>
        <v>17</v>
      </c>
      <c r="AL24" s="63">
        <f t="shared" si="14"/>
        <v>34</v>
      </c>
      <c r="AM24" s="27"/>
      <c r="AN24" s="37"/>
      <c r="AO24" s="36"/>
      <c r="AP24" s="36"/>
      <c r="AQ24" s="36">
        <f t="shared" si="15"/>
        <v>17</v>
      </c>
      <c r="AR24" s="82">
        <f t="shared" si="9"/>
        <v>34</v>
      </c>
      <c r="AS24" s="73">
        <f t="shared" si="4"/>
        <v>57.166666666666664</v>
      </c>
      <c r="AT24" s="76">
        <f t="shared" si="5"/>
        <v>57.979188745047907</v>
      </c>
    </row>
    <row r="25" spans="1:46" x14ac:dyDescent="0.25">
      <c r="A25" s="129" t="s">
        <v>74</v>
      </c>
      <c r="B25" s="13"/>
      <c r="C25" s="131">
        <f>'3. Keep RH high'!D13</f>
        <v>38</v>
      </c>
      <c r="D25" s="14" t="s">
        <v>2</v>
      </c>
      <c r="E25" s="13"/>
      <c r="F25" s="13"/>
      <c r="G25" s="13"/>
      <c r="H25" s="13"/>
      <c r="I25" s="101"/>
      <c r="K25" s="37"/>
      <c r="L25" s="36"/>
      <c r="M25" s="36"/>
      <c r="N25" s="43">
        <f t="shared" si="0"/>
        <v>56.894427296000771</v>
      </c>
      <c r="O25" s="43">
        <f t="shared" si="1"/>
        <v>47.973606824000193</v>
      </c>
      <c r="P25" s="51">
        <v>37</v>
      </c>
      <c r="Q25" s="27"/>
      <c r="R25" s="37"/>
      <c r="S25" s="36"/>
      <c r="T25" s="36"/>
      <c r="U25" s="43">
        <f t="shared" si="2"/>
        <v>59.129944495703839</v>
      </c>
      <c r="V25" s="36">
        <f t="shared" si="10"/>
        <v>18</v>
      </c>
      <c r="W25" s="63">
        <f t="shared" si="6"/>
        <v>36</v>
      </c>
      <c r="X25" s="27"/>
      <c r="Y25" s="37"/>
      <c r="Z25" s="36"/>
      <c r="AA25" s="36"/>
      <c r="AB25" s="36">
        <f t="shared" si="11"/>
        <v>18</v>
      </c>
      <c r="AC25" s="82">
        <f t="shared" si="7"/>
        <v>36</v>
      </c>
      <c r="AD25" s="73">
        <f t="shared" si="3"/>
        <v>23</v>
      </c>
      <c r="AE25" s="76">
        <f t="shared" si="8"/>
        <v>26.043314831901281</v>
      </c>
      <c r="AF25" s="27"/>
      <c r="AG25" s="37"/>
      <c r="AH25" s="36"/>
      <c r="AI25" s="36"/>
      <c r="AJ25" s="43">
        <f t="shared" si="12"/>
        <v>37.303955596563071</v>
      </c>
      <c r="AK25" s="36">
        <f t="shared" si="13"/>
        <v>18</v>
      </c>
      <c r="AL25" s="63">
        <f t="shared" si="14"/>
        <v>36</v>
      </c>
      <c r="AM25" s="27"/>
      <c r="AN25" s="37"/>
      <c r="AO25" s="36"/>
      <c r="AP25" s="36"/>
      <c r="AQ25" s="36">
        <f t="shared" si="15"/>
        <v>18</v>
      </c>
      <c r="AR25" s="82">
        <f t="shared" si="9"/>
        <v>36</v>
      </c>
      <c r="AS25" s="73">
        <f t="shared" si="4"/>
        <v>57</v>
      </c>
      <c r="AT25" s="76">
        <f t="shared" si="5"/>
        <v>59.434651865521026</v>
      </c>
    </row>
    <row r="26" spans="1:46" x14ac:dyDescent="0.25">
      <c r="A26" s="129" t="s">
        <v>75</v>
      </c>
      <c r="B26" s="13"/>
      <c r="C26" s="131">
        <f>'3. Keep RH high'!D14</f>
        <v>25</v>
      </c>
      <c r="D26" s="14" t="s">
        <v>2</v>
      </c>
      <c r="E26" s="13"/>
      <c r="F26" s="13"/>
      <c r="G26" s="13"/>
      <c r="H26" s="13"/>
      <c r="I26" s="101"/>
      <c r="K26" s="37"/>
      <c r="L26" s="36"/>
      <c r="M26" s="36"/>
      <c r="N26" s="43">
        <f t="shared" si="0"/>
        <v>57.440825695381989</v>
      </c>
      <c r="O26" s="43">
        <f t="shared" si="1"/>
        <v>48.110206423845497</v>
      </c>
      <c r="P26" s="51">
        <v>39</v>
      </c>
      <c r="Q26" s="27"/>
      <c r="R26" s="37"/>
      <c r="S26" s="36"/>
      <c r="T26" s="36"/>
      <c r="U26" s="43">
        <f t="shared" si="2"/>
        <v>44.937383387501868</v>
      </c>
      <c r="V26" s="36">
        <f t="shared" si="10"/>
        <v>19</v>
      </c>
      <c r="W26" s="63">
        <f t="shared" si="6"/>
        <v>38</v>
      </c>
      <c r="X26" s="27"/>
      <c r="Y26" s="37"/>
      <c r="Z26" s="36"/>
      <c r="AA26" s="36"/>
      <c r="AB26" s="36">
        <f t="shared" si="11"/>
        <v>19</v>
      </c>
      <c r="AC26" s="82">
        <f t="shared" si="7"/>
        <v>38</v>
      </c>
      <c r="AD26" s="73">
        <f t="shared" si="3"/>
        <v>23.166666666666668</v>
      </c>
      <c r="AE26" s="76">
        <f t="shared" si="8"/>
        <v>21.479127795833957</v>
      </c>
      <c r="AF26" s="27"/>
      <c r="AG26" s="37"/>
      <c r="AH26" s="36"/>
      <c r="AI26" s="36"/>
      <c r="AJ26" s="43">
        <f t="shared" si="12"/>
        <v>25.949906710001496</v>
      </c>
      <c r="AK26" s="36">
        <f t="shared" si="13"/>
        <v>19</v>
      </c>
      <c r="AL26" s="63">
        <f t="shared" si="14"/>
        <v>38</v>
      </c>
      <c r="AM26" s="27"/>
      <c r="AN26" s="37"/>
      <c r="AO26" s="36"/>
      <c r="AP26" s="36"/>
      <c r="AQ26" s="36">
        <f t="shared" si="15"/>
        <v>19</v>
      </c>
      <c r="AR26" s="82">
        <f t="shared" si="9"/>
        <v>38</v>
      </c>
      <c r="AS26" s="73">
        <f t="shared" si="4"/>
        <v>56.833333333333336</v>
      </c>
      <c r="AT26" s="76">
        <f t="shared" si="5"/>
        <v>55.483302236667171</v>
      </c>
    </row>
    <row r="27" spans="1:46" x14ac:dyDescent="0.25">
      <c r="A27" s="129" t="s">
        <v>19</v>
      </c>
      <c r="B27" s="13" t="s">
        <v>78</v>
      </c>
      <c r="C27" s="132">
        <f>IF((C25-C24)&gt;(C24-C26), (C25-C24), (C24-C26))/100</f>
        <v>0.08</v>
      </c>
      <c r="D27" s="14" t="s">
        <v>4</v>
      </c>
      <c r="E27" s="13" t="s">
        <v>64</v>
      </c>
      <c r="F27" s="13"/>
      <c r="G27" s="13"/>
      <c r="H27" s="13"/>
      <c r="I27" s="101"/>
      <c r="K27" s="37"/>
      <c r="L27" s="36"/>
      <c r="M27" s="36"/>
      <c r="N27" s="43">
        <f t="shared" si="0"/>
        <v>57.972479553036997</v>
      </c>
      <c r="O27" s="43">
        <f t="shared" si="1"/>
        <v>48.243119888259251</v>
      </c>
      <c r="P27" s="51">
        <v>41</v>
      </c>
      <c r="Q27" s="27"/>
      <c r="R27" s="37"/>
      <c r="S27" s="36"/>
      <c r="T27" s="36"/>
      <c r="U27" s="43">
        <f t="shared" si="2"/>
        <v>41.987752093231045</v>
      </c>
      <c r="V27" s="36">
        <f t="shared" si="10"/>
        <v>20</v>
      </c>
      <c r="W27" s="63">
        <f t="shared" si="6"/>
        <v>40</v>
      </c>
      <c r="X27" s="27"/>
      <c r="Y27" s="37"/>
      <c r="Z27" s="36"/>
      <c r="AA27" s="36"/>
      <c r="AB27" s="36">
        <f t="shared" si="11"/>
        <v>20</v>
      </c>
      <c r="AC27" s="82">
        <f t="shared" si="7"/>
        <v>40</v>
      </c>
      <c r="AD27" s="73">
        <f t="shared" si="3"/>
        <v>23.333333333333332</v>
      </c>
      <c r="AE27" s="76">
        <f t="shared" si="8"/>
        <v>20.662584031077014</v>
      </c>
      <c r="AF27" s="27"/>
      <c r="AG27" s="37"/>
      <c r="AH27" s="36"/>
      <c r="AI27" s="36"/>
      <c r="AJ27" s="43">
        <f t="shared" si="12"/>
        <v>23.590201674584836</v>
      </c>
      <c r="AK27" s="36">
        <f t="shared" si="13"/>
        <v>20</v>
      </c>
      <c r="AL27" s="63">
        <f t="shared" si="14"/>
        <v>40</v>
      </c>
      <c r="AM27" s="27"/>
      <c r="AN27" s="37"/>
      <c r="AO27" s="36"/>
      <c r="AP27" s="36"/>
      <c r="AQ27" s="36">
        <f t="shared" si="15"/>
        <v>20</v>
      </c>
      <c r="AR27" s="82">
        <f t="shared" si="9"/>
        <v>40</v>
      </c>
      <c r="AS27" s="73">
        <f t="shared" si="4"/>
        <v>56.666666666666664</v>
      </c>
      <c r="AT27" s="76">
        <f t="shared" si="5"/>
        <v>54.530067224861611</v>
      </c>
    </row>
    <row r="28" spans="1:46" x14ac:dyDescent="0.25">
      <c r="A28" s="70" t="s">
        <v>32</v>
      </c>
      <c r="B28" s="13" t="s">
        <v>19</v>
      </c>
      <c r="C28" s="132">
        <f xml:space="preserve"> ('3. Keep RH high'!D9-'3. Keep RH high'!D12)/100</f>
        <v>0.3</v>
      </c>
      <c r="D28" s="14" t="s">
        <v>4</v>
      </c>
      <c r="E28" s="13" t="s">
        <v>42</v>
      </c>
      <c r="F28" s="13"/>
      <c r="G28" s="13"/>
      <c r="H28" s="13"/>
      <c r="I28" s="101"/>
      <c r="K28" s="37"/>
      <c r="L28" s="36"/>
      <c r="M28" s="36"/>
      <c r="N28" s="43">
        <f t="shared" si="0"/>
        <v>58.48875876669765</v>
      </c>
      <c r="O28" s="43">
        <f t="shared" si="1"/>
        <v>48.372189691674414</v>
      </c>
      <c r="P28" s="51">
        <v>43</v>
      </c>
      <c r="Q28" s="27"/>
      <c r="R28" s="37"/>
      <c r="S28" s="36"/>
      <c r="T28" s="36"/>
      <c r="U28" s="43">
        <f t="shared" si="2"/>
        <v>56.831516539264932</v>
      </c>
      <c r="V28" s="36">
        <f t="shared" si="10"/>
        <v>21</v>
      </c>
      <c r="W28" s="63">
        <f t="shared" si="6"/>
        <v>42</v>
      </c>
      <c r="X28" s="27"/>
      <c r="Y28" s="37"/>
      <c r="Z28" s="36"/>
      <c r="AA28" s="36"/>
      <c r="AB28" s="36">
        <f t="shared" si="11"/>
        <v>21</v>
      </c>
      <c r="AC28" s="82">
        <f t="shared" si="7"/>
        <v>42</v>
      </c>
      <c r="AD28" s="73">
        <f t="shared" si="3"/>
        <v>23.5</v>
      </c>
      <c r="AE28" s="76">
        <f t="shared" si="8"/>
        <v>25.777172179754977</v>
      </c>
      <c r="AF28" s="27"/>
      <c r="AG28" s="37"/>
      <c r="AH28" s="36"/>
      <c r="AI28" s="36"/>
      <c r="AJ28" s="43">
        <f t="shared" si="12"/>
        <v>35.465213231411951</v>
      </c>
      <c r="AK28" s="36">
        <f t="shared" si="13"/>
        <v>21</v>
      </c>
      <c r="AL28" s="63">
        <f t="shared" si="14"/>
        <v>42</v>
      </c>
      <c r="AM28" s="27"/>
      <c r="AN28" s="37"/>
      <c r="AO28" s="36"/>
      <c r="AP28" s="36"/>
      <c r="AQ28" s="36">
        <f t="shared" si="15"/>
        <v>21</v>
      </c>
      <c r="AR28" s="82">
        <f t="shared" si="9"/>
        <v>42</v>
      </c>
      <c r="AS28" s="73">
        <f t="shared" si="4"/>
        <v>56.5</v>
      </c>
      <c r="AT28" s="76">
        <f t="shared" si="5"/>
        <v>58.321737743803979</v>
      </c>
    </row>
    <row r="29" spans="1:46" x14ac:dyDescent="0.25">
      <c r="A29" s="70" t="s">
        <v>34</v>
      </c>
      <c r="B29" s="13" t="s">
        <v>26</v>
      </c>
      <c r="C29" s="133">
        <f>'3. Keep RH high'!D9-'3. Keep RH high'!D10</f>
        <v>10</v>
      </c>
      <c r="D29" s="14" t="s">
        <v>2</v>
      </c>
      <c r="E29" s="134" t="s">
        <v>44</v>
      </c>
      <c r="F29" s="13"/>
      <c r="G29" s="13"/>
      <c r="H29" s="13"/>
      <c r="I29" s="101"/>
      <c r="K29" s="37"/>
      <c r="L29" s="36"/>
      <c r="M29" s="36"/>
      <c r="N29" s="43">
        <f t="shared" si="0"/>
        <v>58.989051455722375</v>
      </c>
      <c r="O29" s="43">
        <f t="shared" si="1"/>
        <v>48.497262863930594</v>
      </c>
      <c r="P29" s="51">
        <v>45</v>
      </c>
      <c r="Q29" s="27"/>
      <c r="R29" s="37"/>
      <c r="S29" s="36"/>
      <c r="T29" s="36"/>
      <c r="U29" s="43">
        <f t="shared" si="2"/>
        <v>56.504023342748305</v>
      </c>
      <c r="V29" s="36">
        <f t="shared" si="10"/>
        <v>22</v>
      </c>
      <c r="W29" s="63">
        <f t="shared" si="6"/>
        <v>44</v>
      </c>
      <c r="X29" s="27"/>
      <c r="Y29" s="37"/>
      <c r="Z29" s="36"/>
      <c r="AA29" s="36"/>
      <c r="AB29" s="36">
        <f t="shared" si="11"/>
        <v>22</v>
      </c>
      <c r="AC29" s="82">
        <f t="shared" si="7"/>
        <v>44</v>
      </c>
      <c r="AD29" s="73">
        <f t="shared" si="3"/>
        <v>23.666666666666668</v>
      </c>
      <c r="AE29" s="76">
        <f t="shared" si="8"/>
        <v>25.834674447582771</v>
      </c>
      <c r="AF29" s="27"/>
      <c r="AG29" s="37"/>
      <c r="AH29" s="36"/>
      <c r="AI29" s="36"/>
      <c r="AJ29" s="43">
        <f t="shared" si="12"/>
        <v>35.203218674198645</v>
      </c>
      <c r="AK29" s="36">
        <f t="shared" si="13"/>
        <v>22</v>
      </c>
      <c r="AL29" s="63">
        <f t="shared" si="14"/>
        <v>44</v>
      </c>
      <c r="AM29" s="27"/>
      <c r="AN29" s="37"/>
      <c r="AO29" s="36"/>
      <c r="AP29" s="36"/>
      <c r="AQ29" s="36">
        <f t="shared" si="15"/>
        <v>22</v>
      </c>
      <c r="AR29" s="82">
        <f t="shared" si="9"/>
        <v>44</v>
      </c>
      <c r="AS29" s="73">
        <f t="shared" si="4"/>
        <v>56.333333333333336</v>
      </c>
      <c r="AT29" s="76">
        <f t="shared" si="5"/>
        <v>58.067739558066215</v>
      </c>
    </row>
    <row r="30" spans="1:46" ht="16.149999999999999" x14ac:dyDescent="0.35">
      <c r="A30" s="70" t="s">
        <v>3</v>
      </c>
      <c r="B30" s="13" t="s">
        <v>69</v>
      </c>
      <c r="C30" s="130">
        <f>7.36*EXP('3. Keep RH high'!D15/19.96)-2.75</f>
        <v>18.326615192350094</v>
      </c>
      <c r="D30" s="135" t="s">
        <v>7</v>
      </c>
      <c r="E30" s="13" t="s">
        <v>45</v>
      </c>
      <c r="F30" s="13"/>
      <c r="G30" s="13"/>
      <c r="H30" s="13"/>
      <c r="I30" s="101"/>
      <c r="K30" s="37"/>
      <c r="L30" s="36"/>
      <c r="M30" s="36"/>
      <c r="N30" s="43">
        <f t="shared" si="0"/>
        <v>59.47276468628111</v>
      </c>
      <c r="O30" s="43">
        <f t="shared" si="1"/>
        <v>48.618191171570274</v>
      </c>
      <c r="P30" s="51">
        <v>47</v>
      </c>
      <c r="Q30" s="27"/>
      <c r="R30" s="37"/>
      <c r="S30" s="36"/>
      <c r="T30" s="36"/>
      <c r="U30" s="43">
        <f t="shared" si="2"/>
        <v>41.732561039393438</v>
      </c>
      <c r="V30" s="36">
        <f t="shared" si="10"/>
        <v>23</v>
      </c>
      <c r="W30" s="63">
        <f t="shared" si="6"/>
        <v>46</v>
      </c>
      <c r="X30" s="27"/>
      <c r="Y30" s="37"/>
      <c r="Z30" s="36"/>
      <c r="AA30" s="36"/>
      <c r="AB30" s="36">
        <f t="shared" si="11"/>
        <v>23</v>
      </c>
      <c r="AC30" s="82">
        <f t="shared" si="7"/>
        <v>46</v>
      </c>
      <c r="AD30" s="73">
        <f t="shared" si="3"/>
        <v>23.833333333333332</v>
      </c>
      <c r="AE30" s="76">
        <f t="shared" si="8"/>
        <v>21.077520346464478</v>
      </c>
      <c r="AF30" s="27"/>
      <c r="AG30" s="37"/>
      <c r="AH30" s="36"/>
      <c r="AI30" s="36"/>
      <c r="AJ30" s="43">
        <f t="shared" si="12"/>
        <v>23.386048831514749</v>
      </c>
      <c r="AK30" s="36">
        <f t="shared" si="13"/>
        <v>23</v>
      </c>
      <c r="AL30" s="63">
        <f t="shared" si="14"/>
        <v>46</v>
      </c>
      <c r="AM30" s="27"/>
      <c r="AN30" s="37"/>
      <c r="AO30" s="36"/>
      <c r="AP30" s="36"/>
      <c r="AQ30" s="36">
        <f t="shared" si="15"/>
        <v>23</v>
      </c>
      <c r="AR30" s="82">
        <f t="shared" si="9"/>
        <v>46</v>
      </c>
      <c r="AS30" s="73">
        <f t="shared" si="4"/>
        <v>56.166666666666664</v>
      </c>
      <c r="AT30" s="76">
        <f t="shared" si="5"/>
        <v>53.962016277171578</v>
      </c>
    </row>
    <row r="31" spans="1:46" x14ac:dyDescent="0.25">
      <c r="A31" s="70" t="s">
        <v>90</v>
      </c>
      <c r="B31" s="14" t="s">
        <v>73</v>
      </c>
      <c r="C31" s="130">
        <f>(C30* C27*'3. Keep RH high'!D16*'3. Keep RH high'!D17*'3. Keep RH high'!D11)/ ('3. Keep RH high'!D34 *'3. Keep RH high'!D36)</f>
        <v>5.3333333333333321</v>
      </c>
      <c r="D31" s="13"/>
      <c r="E31" s="14" t="s">
        <v>88</v>
      </c>
      <c r="F31" s="13"/>
      <c r="G31" s="13"/>
      <c r="H31" s="13"/>
      <c r="I31" s="101"/>
      <c r="K31" s="37"/>
      <c r="L31" s="36"/>
      <c r="M31" s="36"/>
      <c r="N31" s="43">
        <f t="shared" si="0"/>
        <v>59.939325174085013</v>
      </c>
      <c r="O31" s="43">
        <f t="shared" si="1"/>
        <v>48.734831293521253</v>
      </c>
      <c r="P31" s="51">
        <v>49</v>
      </c>
      <c r="Q31" s="27"/>
      <c r="R31" s="37"/>
      <c r="S31" s="36"/>
      <c r="T31" s="36"/>
      <c r="U31" s="43">
        <f t="shared" si="2"/>
        <v>45.321216258189537</v>
      </c>
      <c r="V31" s="36">
        <f t="shared" si="10"/>
        <v>24</v>
      </c>
      <c r="W31" s="63">
        <f t="shared" si="6"/>
        <v>48</v>
      </c>
      <c r="X31" s="27"/>
      <c r="Y31" s="37"/>
      <c r="Z31" s="36"/>
      <c r="AA31" s="36"/>
      <c r="AB31" s="36">
        <f t="shared" si="11"/>
        <v>24</v>
      </c>
      <c r="AC31" s="82">
        <f t="shared" si="7"/>
        <v>48</v>
      </c>
      <c r="AD31" s="73">
        <f t="shared" si="3"/>
        <v>24</v>
      </c>
      <c r="AE31" s="76">
        <f t="shared" si="8"/>
        <v>22.440405419396512</v>
      </c>
      <c r="AF31" s="27"/>
      <c r="AG31" s="37"/>
      <c r="AH31" s="36"/>
      <c r="AI31" s="36"/>
      <c r="AJ31" s="43">
        <f t="shared" si="12"/>
        <v>26.256973006551625</v>
      </c>
      <c r="AK31" s="36">
        <f t="shared" si="13"/>
        <v>24</v>
      </c>
      <c r="AL31" s="63">
        <f t="shared" si="14"/>
        <v>48</v>
      </c>
      <c r="AM31" s="27"/>
      <c r="AN31" s="37"/>
      <c r="AO31" s="36"/>
      <c r="AP31" s="36"/>
      <c r="AQ31" s="36">
        <f t="shared" si="15"/>
        <v>24</v>
      </c>
      <c r="AR31" s="82">
        <f t="shared" si="9"/>
        <v>48</v>
      </c>
      <c r="AS31" s="73">
        <f t="shared" si="4"/>
        <v>56</v>
      </c>
      <c r="AT31" s="76">
        <f t="shared" si="5"/>
        <v>54.752324335517208</v>
      </c>
    </row>
    <row r="32" spans="1:46" ht="13.25" thickBot="1" x14ac:dyDescent="0.3">
      <c r="A32" s="19"/>
      <c r="B32" s="32"/>
      <c r="C32" s="32"/>
      <c r="D32" s="32"/>
      <c r="E32" s="32"/>
      <c r="F32" s="32"/>
      <c r="G32" s="32"/>
      <c r="H32" s="32"/>
      <c r="I32" s="33"/>
      <c r="K32" s="37"/>
      <c r="L32" s="36"/>
      <c r="M32" s="36"/>
      <c r="N32" s="43">
        <f t="shared" si="0"/>
        <v>60.388179963828001</v>
      </c>
      <c r="O32" s="43">
        <f t="shared" si="1"/>
        <v>48.847044990957002</v>
      </c>
      <c r="P32" s="51">
        <v>51</v>
      </c>
      <c r="Q32" s="27"/>
      <c r="R32" s="37"/>
      <c r="S32" s="36"/>
      <c r="T32" s="36"/>
      <c r="U32" s="43">
        <f t="shared" si="2"/>
        <v>59.30039504416137</v>
      </c>
      <c r="V32" s="36">
        <f t="shared" si="10"/>
        <v>25</v>
      </c>
      <c r="W32" s="63">
        <f t="shared" si="6"/>
        <v>50</v>
      </c>
      <c r="X32" s="27"/>
      <c r="Y32" s="37"/>
      <c r="Z32" s="36"/>
      <c r="AA32" s="36"/>
      <c r="AB32" s="36">
        <f t="shared" si="11"/>
        <v>25</v>
      </c>
      <c r="AC32" s="82">
        <f t="shared" si="7"/>
        <v>50</v>
      </c>
      <c r="AD32" s="73">
        <f t="shared" si="3"/>
        <v>24.166666666666664</v>
      </c>
      <c r="AE32" s="76">
        <f t="shared" si="8"/>
        <v>27.26679834805379</v>
      </c>
      <c r="AF32" s="27"/>
      <c r="AG32" s="37"/>
      <c r="AH32" s="36"/>
      <c r="AI32" s="36"/>
      <c r="AJ32" s="43">
        <f t="shared" si="12"/>
        <v>37.440316035329097</v>
      </c>
      <c r="AK32" s="36">
        <f t="shared" si="13"/>
        <v>25</v>
      </c>
      <c r="AL32" s="63">
        <f t="shared" si="14"/>
        <v>50</v>
      </c>
      <c r="AM32" s="27"/>
      <c r="AN32" s="37"/>
      <c r="AO32" s="36"/>
      <c r="AP32" s="36"/>
      <c r="AQ32" s="36">
        <f t="shared" si="15"/>
        <v>25</v>
      </c>
      <c r="AR32" s="82">
        <f t="shared" si="9"/>
        <v>50</v>
      </c>
      <c r="AS32" s="73">
        <f t="shared" si="4"/>
        <v>55.833333333333336</v>
      </c>
      <c r="AT32" s="76">
        <f t="shared" si="5"/>
        <v>58.313438678443035</v>
      </c>
    </row>
    <row r="33" spans="1:46" x14ac:dyDescent="0.25">
      <c r="A33" s="27"/>
      <c r="B33" s="27"/>
      <c r="C33" s="27"/>
      <c r="D33" s="27"/>
      <c r="E33" s="27"/>
      <c r="F33" s="27"/>
      <c r="G33" s="27"/>
      <c r="H33" s="27"/>
      <c r="I33" s="27"/>
      <c r="K33" s="37"/>
      <c r="L33" s="36"/>
      <c r="M33" s="36"/>
      <c r="N33" s="43">
        <f t="shared" si="0"/>
        <v>60.818797084534964</v>
      </c>
      <c r="O33" s="43">
        <f t="shared" si="1"/>
        <v>48.954699271133741</v>
      </c>
      <c r="P33" s="51">
        <v>53</v>
      </c>
      <c r="Q33" s="27"/>
      <c r="R33" s="37"/>
      <c r="S33" s="36"/>
      <c r="T33" s="36"/>
      <c r="U33" s="43">
        <f t="shared" si="2"/>
        <v>52.625493790731845</v>
      </c>
      <c r="V33" s="36">
        <f t="shared" si="10"/>
        <v>26</v>
      </c>
      <c r="W33" s="63">
        <f t="shared" si="6"/>
        <v>52</v>
      </c>
      <c r="X33" s="27"/>
      <c r="Y33" s="37"/>
      <c r="Z33" s="36"/>
      <c r="AA33" s="36"/>
      <c r="AB33" s="36">
        <f t="shared" si="11"/>
        <v>26</v>
      </c>
      <c r="AC33" s="82">
        <f t="shared" si="7"/>
        <v>52</v>
      </c>
      <c r="AD33" s="73">
        <f t="shared" si="3"/>
        <v>24.333333333333332</v>
      </c>
      <c r="AE33" s="76">
        <f t="shared" si="8"/>
        <v>25.208497930243947</v>
      </c>
      <c r="AF33" s="27"/>
      <c r="AG33" s="37"/>
      <c r="AH33" s="36"/>
      <c r="AI33" s="36"/>
      <c r="AJ33" s="43">
        <f t="shared" si="12"/>
        <v>32.100395032585475</v>
      </c>
      <c r="AK33" s="36">
        <f t="shared" si="13"/>
        <v>26</v>
      </c>
      <c r="AL33" s="63">
        <f t="shared" si="14"/>
        <v>52</v>
      </c>
      <c r="AM33" s="27"/>
      <c r="AN33" s="37"/>
      <c r="AO33" s="36"/>
      <c r="AP33" s="36"/>
      <c r="AQ33" s="36">
        <f t="shared" si="15"/>
        <v>26</v>
      </c>
      <c r="AR33" s="82">
        <f t="shared" si="9"/>
        <v>52</v>
      </c>
      <c r="AS33" s="73">
        <f t="shared" si="4"/>
        <v>55.666666666666664</v>
      </c>
      <c r="AT33" s="76">
        <f t="shared" si="5"/>
        <v>56.366798344195153</v>
      </c>
    </row>
    <row r="34" spans="1:46" x14ac:dyDescent="0.25">
      <c r="A34" s="27"/>
      <c r="B34" s="27"/>
      <c r="C34" s="27"/>
      <c r="D34" s="27"/>
      <c r="E34" s="27"/>
      <c r="F34" s="27"/>
      <c r="G34" s="27"/>
      <c r="H34" s="27"/>
      <c r="I34" s="27"/>
      <c r="K34" s="37"/>
      <c r="L34" s="36"/>
      <c r="M34" s="36"/>
      <c r="N34" s="43">
        <f t="shared" si="0"/>
        <v>61.230666180039854</v>
      </c>
      <c r="O34" s="43">
        <f t="shared" si="1"/>
        <v>49.057666545009965</v>
      </c>
      <c r="P34" s="51">
        <v>55</v>
      </c>
      <c r="Q34" s="27"/>
      <c r="R34" s="37"/>
      <c r="S34" s="36"/>
      <c r="T34" s="36"/>
      <c r="U34" s="43">
        <f t="shared" si="2"/>
        <v>40.119962909287786</v>
      </c>
      <c r="V34" s="36">
        <f t="shared" si="10"/>
        <v>27</v>
      </c>
      <c r="W34" s="63">
        <f t="shared" si="6"/>
        <v>54</v>
      </c>
      <c r="X34" s="27"/>
      <c r="Y34" s="37"/>
      <c r="Z34" s="36"/>
      <c r="AA34" s="36"/>
      <c r="AB34" s="36">
        <f t="shared" si="11"/>
        <v>27</v>
      </c>
      <c r="AC34" s="82">
        <f t="shared" si="7"/>
        <v>54</v>
      </c>
      <c r="AD34" s="73">
        <f t="shared" si="3"/>
        <v>24.5</v>
      </c>
      <c r="AE34" s="76">
        <f t="shared" si="8"/>
        <v>21.206654303095927</v>
      </c>
      <c r="AF34" s="27"/>
      <c r="AG34" s="37"/>
      <c r="AH34" s="36"/>
      <c r="AI34" s="36"/>
      <c r="AJ34" s="43">
        <f t="shared" si="12"/>
        <v>22.09597032743023</v>
      </c>
      <c r="AK34" s="36">
        <f t="shared" si="13"/>
        <v>27</v>
      </c>
      <c r="AL34" s="63">
        <f t="shared" si="14"/>
        <v>54</v>
      </c>
      <c r="AM34" s="27"/>
      <c r="AN34" s="37"/>
      <c r="AO34" s="36"/>
      <c r="AP34" s="36"/>
      <c r="AQ34" s="36">
        <f t="shared" si="15"/>
        <v>27</v>
      </c>
      <c r="AR34" s="82">
        <f t="shared" si="9"/>
        <v>54</v>
      </c>
      <c r="AS34" s="73">
        <f t="shared" si="4"/>
        <v>55.5</v>
      </c>
      <c r="AT34" s="76">
        <f t="shared" si="5"/>
        <v>52.865323442476743</v>
      </c>
    </row>
    <row r="35" spans="1:46" x14ac:dyDescent="0.25">
      <c r="A35" s="27"/>
      <c r="B35" s="27"/>
      <c r="C35" s="27"/>
      <c r="D35" s="27"/>
      <c r="E35" s="27"/>
      <c r="F35" s="27"/>
      <c r="G35" s="27"/>
      <c r="H35" s="27"/>
      <c r="I35" s="27"/>
      <c r="K35" s="37"/>
      <c r="L35" s="36"/>
      <c r="M35" s="36"/>
      <c r="N35" s="43">
        <f t="shared" si="0"/>
        <v>61.623299113846514</v>
      </c>
      <c r="O35" s="43">
        <f t="shared" si="1"/>
        <v>49.155824778461628</v>
      </c>
      <c r="P35" s="51">
        <v>57</v>
      </c>
      <c r="Q35" s="27"/>
      <c r="R35" s="37"/>
      <c r="S35" s="36"/>
      <c r="T35" s="36"/>
      <c r="U35" s="43">
        <f t="shared" si="2"/>
        <v>49.555766336210723</v>
      </c>
      <c r="V35" s="36">
        <f t="shared" si="10"/>
        <v>28</v>
      </c>
      <c r="W35" s="63">
        <f t="shared" si="6"/>
        <v>56</v>
      </c>
      <c r="X35" s="27"/>
      <c r="Y35" s="37"/>
      <c r="Z35" s="36"/>
      <c r="AA35" s="36"/>
      <c r="AB35" s="36">
        <f t="shared" si="11"/>
        <v>28</v>
      </c>
      <c r="AC35" s="82">
        <f t="shared" si="7"/>
        <v>56</v>
      </c>
      <c r="AD35" s="73">
        <f t="shared" si="3"/>
        <v>24.666666666666664</v>
      </c>
      <c r="AE35" s="76">
        <f t="shared" si="8"/>
        <v>24.518588778736905</v>
      </c>
      <c r="AF35" s="27"/>
      <c r="AG35" s="37"/>
      <c r="AH35" s="36"/>
      <c r="AI35" s="36"/>
      <c r="AJ35" s="43">
        <f t="shared" si="12"/>
        <v>29.644613068968578</v>
      </c>
      <c r="AK35" s="36">
        <f t="shared" si="13"/>
        <v>28</v>
      </c>
      <c r="AL35" s="63">
        <f t="shared" si="14"/>
        <v>56</v>
      </c>
      <c r="AM35" s="27"/>
      <c r="AN35" s="37"/>
      <c r="AO35" s="36"/>
      <c r="AP35" s="36"/>
      <c r="AQ35" s="36">
        <f t="shared" si="15"/>
        <v>28</v>
      </c>
      <c r="AR35" s="82">
        <f t="shared" si="9"/>
        <v>56</v>
      </c>
      <c r="AS35" s="73">
        <f t="shared" si="4"/>
        <v>55.333333333333336</v>
      </c>
      <c r="AT35" s="76">
        <f t="shared" si="5"/>
        <v>55.214871022989527</v>
      </c>
    </row>
    <row r="36" spans="1:46" x14ac:dyDescent="0.25">
      <c r="K36" s="37"/>
      <c r="L36" s="36"/>
      <c r="M36" s="36"/>
      <c r="N36" s="43">
        <f t="shared" si="0"/>
        <v>61.996230547655259</v>
      </c>
      <c r="O36" s="43">
        <f t="shared" si="1"/>
        <v>49.249057636913818</v>
      </c>
      <c r="P36" s="51">
        <v>59</v>
      </c>
      <c r="Q36" s="27"/>
      <c r="R36" s="37"/>
      <c r="S36" s="36"/>
      <c r="T36" s="36"/>
      <c r="U36" s="43">
        <f t="shared" si="2"/>
        <v>59.978112550244653</v>
      </c>
      <c r="V36" s="36">
        <f t="shared" si="10"/>
        <v>29</v>
      </c>
      <c r="W36" s="63">
        <f t="shared" si="6"/>
        <v>58</v>
      </c>
      <c r="X36" s="27"/>
      <c r="Y36" s="37"/>
      <c r="Z36" s="36"/>
      <c r="AA36" s="36"/>
      <c r="AB36" s="36">
        <f t="shared" si="11"/>
        <v>29</v>
      </c>
      <c r="AC36" s="82">
        <f t="shared" si="7"/>
        <v>58</v>
      </c>
      <c r="AD36" s="73">
        <f t="shared" si="3"/>
        <v>24.833333333333332</v>
      </c>
      <c r="AE36" s="76">
        <f t="shared" si="8"/>
        <v>28.159370850081551</v>
      </c>
      <c r="AF36" s="27"/>
      <c r="AG36" s="37"/>
      <c r="AH36" s="36"/>
      <c r="AI36" s="36"/>
      <c r="AJ36" s="43">
        <f t="shared" si="12"/>
        <v>37.982490040195721</v>
      </c>
      <c r="AK36" s="36">
        <f t="shared" si="13"/>
        <v>29</v>
      </c>
      <c r="AL36" s="63">
        <f t="shared" si="14"/>
        <v>58</v>
      </c>
      <c r="AM36" s="27"/>
      <c r="AN36" s="37"/>
      <c r="AO36" s="36"/>
      <c r="AP36" s="36"/>
      <c r="AQ36" s="36">
        <f t="shared" si="15"/>
        <v>29</v>
      </c>
      <c r="AR36" s="82">
        <f t="shared" si="9"/>
        <v>58</v>
      </c>
      <c r="AS36" s="73">
        <f t="shared" si="4"/>
        <v>55.166666666666664</v>
      </c>
      <c r="AT36" s="76">
        <f t="shared" si="5"/>
        <v>57.827496680065238</v>
      </c>
    </row>
    <row r="37" spans="1:46" x14ac:dyDescent="0.25">
      <c r="K37" s="18"/>
      <c r="L37" s="27"/>
      <c r="M37" s="27"/>
      <c r="N37" s="43">
        <f t="shared" si="0"/>
        <v>62.349018492869718</v>
      </c>
      <c r="O37" s="43">
        <f t="shared" si="1"/>
        <v>49.337254623217433</v>
      </c>
      <c r="P37" s="51">
        <v>61</v>
      </c>
      <c r="Q37" s="27"/>
      <c r="R37" s="18"/>
      <c r="S37" s="27"/>
      <c r="T37" s="27"/>
      <c r="U37" s="43">
        <f t="shared" si="2"/>
        <v>48.241320977514647</v>
      </c>
      <c r="V37" s="36">
        <f t="shared" si="10"/>
        <v>30</v>
      </c>
      <c r="W37" s="63">
        <f t="shared" si="6"/>
        <v>60</v>
      </c>
      <c r="X37" s="27"/>
      <c r="Y37" s="18"/>
      <c r="Z37" s="27"/>
      <c r="AA37" s="27"/>
      <c r="AB37" s="36">
        <f t="shared" si="11"/>
        <v>30</v>
      </c>
      <c r="AC37" s="82">
        <f t="shared" si="7"/>
        <v>60</v>
      </c>
      <c r="AD37" s="73">
        <f t="shared" si="3"/>
        <v>25</v>
      </c>
      <c r="AE37" s="76">
        <f t="shared" si="8"/>
        <v>24.413773659171547</v>
      </c>
      <c r="AF37" s="27"/>
      <c r="AG37" s="18"/>
      <c r="AH37" s="27"/>
      <c r="AI37" s="27"/>
      <c r="AJ37" s="43">
        <f t="shared" si="12"/>
        <v>28.593056782011715</v>
      </c>
      <c r="AK37" s="36">
        <f t="shared" si="13"/>
        <v>30</v>
      </c>
      <c r="AL37" s="63">
        <f t="shared" si="14"/>
        <v>60</v>
      </c>
      <c r="AM37" s="27"/>
      <c r="AN37" s="18"/>
      <c r="AO37" s="27"/>
      <c r="AP37" s="27"/>
      <c r="AQ37" s="36">
        <f t="shared" si="15"/>
        <v>30</v>
      </c>
      <c r="AR37" s="82">
        <f t="shared" si="9"/>
        <v>60</v>
      </c>
      <c r="AS37" s="73">
        <f t="shared" si="4"/>
        <v>55</v>
      </c>
      <c r="AT37" s="76">
        <f t="shared" si="5"/>
        <v>54.531018927337236</v>
      </c>
    </row>
    <row r="38" spans="1:46" x14ac:dyDescent="0.25">
      <c r="A38" s="88"/>
      <c r="K38" s="18"/>
      <c r="L38" s="27"/>
      <c r="M38" s="27"/>
      <c r="N38" s="43">
        <f t="shared" si="0"/>
        <v>62.681244834430174</v>
      </c>
      <c r="O38" s="43">
        <f t="shared" si="1"/>
        <v>49.420311208607544</v>
      </c>
      <c r="P38" s="51">
        <v>63</v>
      </c>
      <c r="Q38" s="27"/>
      <c r="R38" s="18"/>
      <c r="S38" s="27"/>
      <c r="T38" s="27"/>
      <c r="U38" s="43">
        <f t="shared" si="2"/>
        <v>40.410158909933472</v>
      </c>
      <c r="V38" s="36">
        <f t="shared" si="10"/>
        <v>31</v>
      </c>
      <c r="W38" s="63">
        <f t="shared" si="6"/>
        <v>62.000000000000007</v>
      </c>
      <c r="X38" s="27"/>
      <c r="Y38" s="18"/>
      <c r="Z38" s="27"/>
      <c r="AA38" s="27"/>
      <c r="AB38" s="36">
        <f t="shared" si="11"/>
        <v>31</v>
      </c>
      <c r="AC38" s="82">
        <f t="shared" si="7"/>
        <v>62.000000000000007</v>
      </c>
      <c r="AD38" s="73">
        <f t="shared" si="3"/>
        <v>25.166666666666668</v>
      </c>
      <c r="AE38" s="76">
        <f t="shared" si="8"/>
        <v>21.970052969977825</v>
      </c>
      <c r="AF38" s="27"/>
      <c r="AG38" s="18"/>
      <c r="AH38" s="27"/>
      <c r="AI38" s="27"/>
      <c r="AJ38" s="43">
        <f t="shared" si="12"/>
        <v>22.328127127946779</v>
      </c>
      <c r="AK38" s="36">
        <f t="shared" si="13"/>
        <v>31</v>
      </c>
      <c r="AL38" s="63">
        <f t="shared" si="14"/>
        <v>62.000000000000007</v>
      </c>
      <c r="AM38" s="27"/>
      <c r="AN38" s="18"/>
      <c r="AO38" s="27"/>
      <c r="AP38" s="27"/>
      <c r="AQ38" s="36">
        <f t="shared" si="15"/>
        <v>31</v>
      </c>
      <c r="AR38" s="82">
        <f t="shared" si="9"/>
        <v>62.000000000000007</v>
      </c>
      <c r="AS38" s="73">
        <f t="shared" si="4"/>
        <v>54.833333333333336</v>
      </c>
      <c r="AT38" s="76">
        <f t="shared" si="5"/>
        <v>52.276042375982264</v>
      </c>
    </row>
    <row r="39" spans="1:46" x14ac:dyDescent="0.25">
      <c r="K39" s="18"/>
      <c r="L39" s="27"/>
      <c r="M39" s="27"/>
      <c r="N39" s="43">
        <f t="shared" ref="N39:N70" si="16">M$7 * SIN(M$8*(P39 - M$9)) + M$10</f>
        <v>62.992515826352573</v>
      </c>
      <c r="O39" s="43">
        <f t="shared" ref="O39:O70" si="17">M$13 * SIN(M$14*(P39 - M$15)) + M$16</f>
        <v>49.49812895658814</v>
      </c>
      <c r="P39" s="51">
        <v>65</v>
      </c>
      <c r="Q39" s="27"/>
      <c r="R39" s="18"/>
      <c r="S39" s="27"/>
      <c r="T39" s="27"/>
      <c r="U39" s="43">
        <f t="shared" si="2"/>
        <v>53.875871276058852</v>
      </c>
      <c r="V39" s="36">
        <f t="shared" si="10"/>
        <v>32</v>
      </c>
      <c r="W39" s="63">
        <f t="shared" si="6"/>
        <v>64</v>
      </c>
      <c r="X39" s="27"/>
      <c r="Y39" s="18"/>
      <c r="Z39" s="27"/>
      <c r="AA39" s="27"/>
      <c r="AB39" s="36">
        <f t="shared" si="11"/>
        <v>32</v>
      </c>
      <c r="AC39" s="82">
        <f t="shared" si="7"/>
        <v>64</v>
      </c>
      <c r="AD39" s="73">
        <f t="shared" ref="AD39:AD67" si="18">((Y$4-Y$3)/R$4)*AC39+Y$3</f>
        <v>25.333333333333332</v>
      </c>
      <c r="AE39" s="76">
        <f t="shared" si="8"/>
        <v>26.625290425352951</v>
      </c>
      <c r="AF39" s="27"/>
      <c r="AG39" s="18"/>
      <c r="AH39" s="27"/>
      <c r="AI39" s="27"/>
      <c r="AJ39" s="43">
        <f t="shared" si="12"/>
        <v>33.100697020847086</v>
      </c>
      <c r="AK39" s="36">
        <f t="shared" si="13"/>
        <v>32</v>
      </c>
      <c r="AL39" s="63">
        <f t="shared" si="14"/>
        <v>64</v>
      </c>
      <c r="AM39" s="27"/>
      <c r="AN39" s="18"/>
      <c r="AO39" s="27"/>
      <c r="AP39" s="27"/>
      <c r="AQ39" s="36">
        <f t="shared" si="15"/>
        <v>32</v>
      </c>
      <c r="AR39" s="82">
        <f t="shared" si="9"/>
        <v>64</v>
      </c>
      <c r="AS39" s="73">
        <f t="shared" ref="AS39:AS67" si="19">((AN$4-AN$3)/AG$4)*AR39+AN$3</f>
        <v>54.666666666666664</v>
      </c>
      <c r="AT39" s="76">
        <f t="shared" si="5"/>
        <v>55.700232340282355</v>
      </c>
    </row>
    <row r="40" spans="1:46" x14ac:dyDescent="0.25">
      <c r="K40" s="18"/>
      <c r="L40" s="27"/>
      <c r="M40" s="27"/>
      <c r="N40" s="43">
        <f t="shared" si="16"/>
        <v>63.28246255838603</v>
      </c>
      <c r="O40" s="43">
        <f t="shared" si="17"/>
        <v>49.570615639596511</v>
      </c>
      <c r="P40" s="51">
        <v>67</v>
      </c>
      <c r="R40" s="18"/>
      <c r="S40" s="27"/>
      <c r="T40" s="27"/>
      <c r="U40" s="43">
        <f t="shared" si="2"/>
        <v>58.734147594787096</v>
      </c>
      <c r="V40" s="36">
        <f t="shared" si="10"/>
        <v>33</v>
      </c>
      <c r="W40" s="63">
        <f t="shared" si="6"/>
        <v>66</v>
      </c>
      <c r="Y40" s="18"/>
      <c r="Z40" s="27"/>
      <c r="AA40" s="27"/>
      <c r="AB40" s="36">
        <f t="shared" si="11"/>
        <v>33</v>
      </c>
      <c r="AC40" s="82">
        <f t="shared" si="7"/>
        <v>66</v>
      </c>
      <c r="AD40" s="73">
        <f t="shared" si="18"/>
        <v>25.5</v>
      </c>
      <c r="AE40" s="76">
        <f t="shared" si="8"/>
        <v>28.411382531595699</v>
      </c>
      <c r="AG40" s="18"/>
      <c r="AH40" s="27"/>
      <c r="AI40" s="27"/>
      <c r="AJ40" s="43">
        <f t="shared" si="12"/>
        <v>36.987318075829677</v>
      </c>
      <c r="AK40" s="36">
        <f t="shared" si="13"/>
        <v>33</v>
      </c>
      <c r="AL40" s="63">
        <f t="shared" si="14"/>
        <v>66</v>
      </c>
      <c r="AN40" s="18"/>
      <c r="AO40" s="27"/>
      <c r="AP40" s="27"/>
      <c r="AQ40" s="36">
        <f t="shared" si="15"/>
        <v>33</v>
      </c>
      <c r="AR40" s="82">
        <f t="shared" si="9"/>
        <v>66</v>
      </c>
      <c r="AS40" s="73">
        <f t="shared" si="19"/>
        <v>54.5</v>
      </c>
      <c r="AT40" s="76">
        <f t="shared" si="5"/>
        <v>56.829106025276559</v>
      </c>
    </row>
    <row r="41" spans="1:46" x14ac:dyDescent="0.25">
      <c r="K41" s="18"/>
      <c r="L41" s="27"/>
      <c r="M41" s="27"/>
      <c r="N41" s="43">
        <f t="shared" si="16"/>
        <v>63.550741393235597</v>
      </c>
      <c r="O41" s="43">
        <f t="shared" si="17"/>
        <v>49.637685348308899</v>
      </c>
      <c r="P41" s="51">
        <v>69</v>
      </c>
      <c r="R41" s="18"/>
      <c r="S41" s="27"/>
      <c r="T41" s="27"/>
      <c r="U41" s="43">
        <f t="shared" si="2"/>
        <v>44.195851763397158</v>
      </c>
      <c r="V41" s="36">
        <f t="shared" si="10"/>
        <v>34</v>
      </c>
      <c r="W41" s="63">
        <f t="shared" si="6"/>
        <v>68</v>
      </c>
      <c r="Y41" s="18"/>
      <c r="Z41" s="27"/>
      <c r="AA41" s="27"/>
      <c r="AB41" s="36">
        <f t="shared" si="11"/>
        <v>34</v>
      </c>
      <c r="AC41" s="82">
        <f t="shared" si="7"/>
        <v>68</v>
      </c>
      <c r="AD41" s="73">
        <f t="shared" si="18"/>
        <v>25.666666666666664</v>
      </c>
      <c r="AE41" s="76">
        <f t="shared" si="8"/>
        <v>23.731950587799052</v>
      </c>
      <c r="AG41" s="18"/>
      <c r="AH41" s="27"/>
      <c r="AI41" s="27"/>
      <c r="AJ41" s="43">
        <f t="shared" si="12"/>
        <v>25.356681410717727</v>
      </c>
      <c r="AK41" s="36">
        <f t="shared" si="13"/>
        <v>34</v>
      </c>
      <c r="AL41" s="63">
        <f t="shared" si="14"/>
        <v>68</v>
      </c>
      <c r="AN41" s="18"/>
      <c r="AO41" s="27"/>
      <c r="AP41" s="27"/>
      <c r="AQ41" s="36">
        <f t="shared" si="15"/>
        <v>34</v>
      </c>
      <c r="AR41" s="82">
        <f t="shared" si="9"/>
        <v>68</v>
      </c>
      <c r="AS41" s="73">
        <f t="shared" si="19"/>
        <v>54.333333333333336</v>
      </c>
      <c r="AT41" s="76">
        <f t="shared" si="5"/>
        <v>52.785560470239247</v>
      </c>
    </row>
    <row r="42" spans="1:46" x14ac:dyDescent="0.25">
      <c r="K42" s="18"/>
      <c r="L42" s="27"/>
      <c r="M42" s="27"/>
      <c r="N42" s="43">
        <f t="shared" si="16"/>
        <v>63.797034373832233</v>
      </c>
      <c r="O42" s="43">
        <f t="shared" si="17"/>
        <v>49.699258593458055</v>
      </c>
      <c r="P42" s="51">
        <v>71</v>
      </c>
      <c r="R42" s="18"/>
      <c r="S42" s="27"/>
      <c r="T42" s="27"/>
      <c r="U42" s="43">
        <f t="shared" si="2"/>
        <v>42.547260258556612</v>
      </c>
      <c r="V42" s="36">
        <f t="shared" si="10"/>
        <v>35</v>
      </c>
      <c r="W42" s="63">
        <f t="shared" si="6"/>
        <v>70</v>
      </c>
      <c r="Y42" s="18"/>
      <c r="Z42" s="27"/>
      <c r="AA42" s="27"/>
      <c r="AB42" s="36">
        <f t="shared" si="11"/>
        <v>35</v>
      </c>
      <c r="AC42" s="82">
        <f t="shared" si="7"/>
        <v>70</v>
      </c>
      <c r="AD42" s="73">
        <f t="shared" si="18"/>
        <v>25.833333333333332</v>
      </c>
      <c r="AE42" s="76">
        <f t="shared" si="8"/>
        <v>23.349086752852202</v>
      </c>
      <c r="AG42" s="18"/>
      <c r="AH42" s="27"/>
      <c r="AI42" s="27"/>
      <c r="AJ42" s="43">
        <f t="shared" si="12"/>
        <v>24.037808206845291</v>
      </c>
      <c r="AK42" s="36">
        <f t="shared" si="13"/>
        <v>35</v>
      </c>
      <c r="AL42" s="63">
        <f t="shared" si="14"/>
        <v>70</v>
      </c>
      <c r="AN42" s="18"/>
      <c r="AO42" s="27"/>
      <c r="AP42" s="27"/>
      <c r="AQ42" s="36">
        <f t="shared" si="15"/>
        <v>35</v>
      </c>
      <c r="AR42" s="82">
        <f t="shared" si="9"/>
        <v>70</v>
      </c>
      <c r="AS42" s="73">
        <f t="shared" si="19"/>
        <v>54.166666666666664</v>
      </c>
      <c r="AT42" s="76">
        <f t="shared" si="5"/>
        <v>52.179269402281761</v>
      </c>
    </row>
    <row r="43" spans="1:46" x14ac:dyDescent="0.25">
      <c r="K43" s="18"/>
      <c r="L43" s="27"/>
      <c r="M43" s="27"/>
      <c r="N43" s="43">
        <f t="shared" si="16"/>
        <v>64.021049600167174</v>
      </c>
      <c r="O43" s="43">
        <f t="shared" si="17"/>
        <v>49.755262400041794</v>
      </c>
      <c r="P43" s="51">
        <v>73</v>
      </c>
      <c r="R43" s="18"/>
      <c r="S43" s="27"/>
      <c r="T43" s="27"/>
      <c r="U43" s="43">
        <f t="shared" si="2"/>
        <v>57.449523034818185</v>
      </c>
      <c r="V43" s="36">
        <f t="shared" si="10"/>
        <v>36</v>
      </c>
      <c r="W43" s="63">
        <f t="shared" si="6"/>
        <v>72</v>
      </c>
      <c r="Y43" s="18"/>
      <c r="Z43" s="27"/>
      <c r="AA43" s="27"/>
      <c r="AB43" s="36">
        <f t="shared" si="11"/>
        <v>36</v>
      </c>
      <c r="AC43" s="82">
        <f t="shared" si="7"/>
        <v>72</v>
      </c>
      <c r="AD43" s="73">
        <f t="shared" si="18"/>
        <v>26</v>
      </c>
      <c r="AE43" s="76">
        <f t="shared" si="8"/>
        <v>28.483174344939396</v>
      </c>
      <c r="AG43" s="18"/>
      <c r="AH43" s="27"/>
      <c r="AI43" s="27"/>
      <c r="AJ43" s="43">
        <f t="shared" si="12"/>
        <v>35.959618427854551</v>
      </c>
      <c r="AK43" s="36">
        <f t="shared" si="13"/>
        <v>36</v>
      </c>
      <c r="AL43" s="63">
        <f t="shared" si="14"/>
        <v>72</v>
      </c>
      <c r="AN43" s="18"/>
      <c r="AO43" s="27"/>
      <c r="AP43" s="27"/>
      <c r="AQ43" s="36">
        <f t="shared" si="15"/>
        <v>36</v>
      </c>
      <c r="AR43" s="82">
        <f t="shared" si="9"/>
        <v>72</v>
      </c>
      <c r="AS43" s="73">
        <f t="shared" si="19"/>
        <v>54</v>
      </c>
      <c r="AT43" s="76">
        <f t="shared" si="5"/>
        <v>55.986539475951517</v>
      </c>
    </row>
    <row r="44" spans="1:46" x14ac:dyDescent="0.25">
      <c r="K44" s="18"/>
      <c r="L44" s="27"/>
      <c r="M44" s="27"/>
      <c r="N44" s="43">
        <f t="shared" si="16"/>
        <v>64.222521575244258</v>
      </c>
      <c r="O44" s="43">
        <f t="shared" si="17"/>
        <v>49.805630393811064</v>
      </c>
      <c r="P44" s="51">
        <v>75</v>
      </c>
      <c r="R44" s="18"/>
      <c r="S44" s="27"/>
      <c r="T44" s="27"/>
      <c r="U44" s="43">
        <f t="shared" si="2"/>
        <v>55.808075109985232</v>
      </c>
      <c r="V44" s="36">
        <f t="shared" si="10"/>
        <v>37</v>
      </c>
      <c r="W44" s="63">
        <f t="shared" si="6"/>
        <v>74</v>
      </c>
      <c r="Y44" s="18"/>
      <c r="Z44" s="27"/>
      <c r="AA44" s="27"/>
      <c r="AB44" s="36">
        <f t="shared" si="11"/>
        <v>37</v>
      </c>
      <c r="AC44" s="82">
        <f t="shared" si="7"/>
        <v>74</v>
      </c>
      <c r="AD44" s="73">
        <f t="shared" si="18"/>
        <v>26.166666666666664</v>
      </c>
      <c r="AE44" s="76">
        <f t="shared" si="8"/>
        <v>28.102691703328411</v>
      </c>
      <c r="AG44" s="18"/>
      <c r="AH44" s="27"/>
      <c r="AI44" s="27"/>
      <c r="AJ44" s="43">
        <f t="shared" si="12"/>
        <v>34.646460087988189</v>
      </c>
      <c r="AK44" s="36">
        <f t="shared" si="13"/>
        <v>37</v>
      </c>
      <c r="AL44" s="63">
        <f t="shared" si="14"/>
        <v>74</v>
      </c>
      <c r="AN44" s="18"/>
      <c r="AO44" s="27"/>
      <c r="AP44" s="27"/>
      <c r="AQ44" s="36">
        <f t="shared" si="15"/>
        <v>37</v>
      </c>
      <c r="AR44" s="82">
        <f t="shared" si="9"/>
        <v>74</v>
      </c>
      <c r="AS44" s="73">
        <f t="shared" si="19"/>
        <v>53.833333333333336</v>
      </c>
      <c r="AT44" s="76">
        <f t="shared" si="5"/>
        <v>55.382153362662734</v>
      </c>
    </row>
    <row r="45" spans="1:46" x14ac:dyDescent="0.25">
      <c r="K45" s="18"/>
      <c r="L45" s="27"/>
      <c r="M45" s="27"/>
      <c r="N45" s="43">
        <f t="shared" si="16"/>
        <v>64.401211519740002</v>
      </c>
      <c r="O45" s="43">
        <f t="shared" si="17"/>
        <v>49.850302879935001</v>
      </c>
      <c r="P45" s="51">
        <v>77</v>
      </c>
      <c r="R45" s="18"/>
      <c r="S45" s="27"/>
      <c r="T45" s="27"/>
      <c r="U45" s="43">
        <f t="shared" si="2"/>
        <v>41.268202158378926</v>
      </c>
      <c r="V45" s="36">
        <f t="shared" si="10"/>
        <v>38</v>
      </c>
      <c r="W45" s="63">
        <f t="shared" si="6"/>
        <v>76</v>
      </c>
      <c r="Y45" s="18"/>
      <c r="Z45" s="27"/>
      <c r="AA45" s="27"/>
      <c r="AB45" s="36">
        <f t="shared" si="11"/>
        <v>38</v>
      </c>
      <c r="AC45" s="82">
        <f t="shared" si="7"/>
        <v>76</v>
      </c>
      <c r="AD45" s="73">
        <f t="shared" si="18"/>
        <v>26.333333333333332</v>
      </c>
      <c r="AE45" s="76">
        <f t="shared" si="8"/>
        <v>23.422734052792975</v>
      </c>
      <c r="AG45" s="18"/>
      <c r="AH45" s="27"/>
      <c r="AI45" s="27"/>
      <c r="AJ45" s="43">
        <f t="shared" si="12"/>
        <v>23.014561726703143</v>
      </c>
      <c r="AK45" s="36">
        <f t="shared" si="13"/>
        <v>38</v>
      </c>
      <c r="AL45" s="63">
        <f t="shared" si="14"/>
        <v>76</v>
      </c>
      <c r="AN45" s="18"/>
      <c r="AO45" s="27"/>
      <c r="AP45" s="27"/>
      <c r="AQ45" s="36">
        <f t="shared" si="15"/>
        <v>38</v>
      </c>
      <c r="AR45" s="82">
        <f t="shared" si="9"/>
        <v>76</v>
      </c>
      <c r="AS45" s="73">
        <f t="shared" si="19"/>
        <v>53.666666666666664</v>
      </c>
      <c r="AT45" s="76">
        <f t="shared" si="5"/>
        <v>51.338187242234376</v>
      </c>
    </row>
    <row r="46" spans="1:46" x14ac:dyDescent="0.25">
      <c r="K46" s="18"/>
      <c r="L46" s="27"/>
      <c r="M46" s="27"/>
      <c r="N46" s="43">
        <f t="shared" si="16"/>
        <v>64.556907654998611</v>
      </c>
      <c r="O46" s="43">
        <f t="shared" si="17"/>
        <v>49.889226913749653</v>
      </c>
      <c r="P46" s="51">
        <v>79</v>
      </c>
      <c r="R46" s="18"/>
      <c r="S46" s="27"/>
      <c r="T46" s="27"/>
      <c r="U46" s="43">
        <f t="shared" si="2"/>
        <v>46.119683085007352</v>
      </c>
      <c r="V46" s="36">
        <f t="shared" si="10"/>
        <v>39</v>
      </c>
      <c r="W46" s="63">
        <f t="shared" si="6"/>
        <v>78</v>
      </c>
      <c r="Y46" s="18"/>
      <c r="Z46" s="27"/>
      <c r="AA46" s="27"/>
      <c r="AB46" s="36">
        <f t="shared" si="11"/>
        <v>39</v>
      </c>
      <c r="AC46" s="82">
        <f t="shared" si="7"/>
        <v>78</v>
      </c>
      <c r="AD46" s="73">
        <f t="shared" si="18"/>
        <v>26.5</v>
      </c>
      <c r="AE46" s="76">
        <f t="shared" si="8"/>
        <v>25.206561028335784</v>
      </c>
      <c r="AG46" s="18"/>
      <c r="AH46" s="27"/>
      <c r="AI46" s="27"/>
      <c r="AJ46" s="43">
        <f t="shared" si="12"/>
        <v>26.895746468005882</v>
      </c>
      <c r="AK46" s="36">
        <f t="shared" si="13"/>
        <v>39</v>
      </c>
      <c r="AL46" s="63">
        <f t="shared" si="14"/>
        <v>78</v>
      </c>
      <c r="AN46" s="18"/>
      <c r="AO46" s="27"/>
      <c r="AP46" s="27"/>
      <c r="AQ46" s="36">
        <f t="shared" si="15"/>
        <v>39</v>
      </c>
      <c r="AR46" s="82">
        <f t="shared" si="9"/>
        <v>78</v>
      </c>
      <c r="AS46" s="73">
        <f t="shared" si="19"/>
        <v>53.5</v>
      </c>
      <c r="AT46" s="76">
        <f t="shared" si="5"/>
        <v>52.465248822668627</v>
      </c>
    </row>
    <row r="47" spans="1:46" x14ac:dyDescent="0.25">
      <c r="K47" s="18"/>
      <c r="L47" s="27"/>
      <c r="M47" s="27"/>
      <c r="N47" s="43">
        <f t="shared" si="16"/>
        <v>64.689425454026534</v>
      </c>
      <c r="O47" s="43">
        <f t="shared" si="17"/>
        <v>49.92235636350663</v>
      </c>
      <c r="P47" s="51">
        <v>81</v>
      </c>
      <c r="R47" s="18"/>
      <c r="S47" s="27"/>
      <c r="T47" s="27"/>
      <c r="U47" s="43">
        <f t="shared" si="2"/>
        <v>59.588472820557215</v>
      </c>
      <c r="V47" s="36">
        <f t="shared" si="10"/>
        <v>40</v>
      </c>
      <c r="W47" s="63">
        <f t="shared" si="6"/>
        <v>80</v>
      </c>
      <c r="Y47" s="18"/>
      <c r="Z47" s="27"/>
      <c r="AA47" s="27"/>
      <c r="AB47" s="36">
        <f t="shared" si="11"/>
        <v>40</v>
      </c>
      <c r="AC47" s="82">
        <f t="shared" si="7"/>
        <v>80</v>
      </c>
      <c r="AD47" s="73">
        <f t="shared" si="18"/>
        <v>26.666666666666664</v>
      </c>
      <c r="AE47" s="76">
        <f t="shared" si="8"/>
        <v>29.86282427351907</v>
      </c>
      <c r="AG47" s="18"/>
      <c r="AH47" s="27"/>
      <c r="AI47" s="27"/>
      <c r="AJ47" s="43">
        <f t="shared" si="12"/>
        <v>37.670778256445772</v>
      </c>
      <c r="AK47" s="36">
        <f t="shared" si="13"/>
        <v>40</v>
      </c>
      <c r="AL47" s="63">
        <f t="shared" si="14"/>
        <v>80</v>
      </c>
      <c r="AN47" s="18"/>
      <c r="AO47" s="27"/>
      <c r="AP47" s="27"/>
      <c r="AQ47" s="36">
        <f t="shared" si="15"/>
        <v>40</v>
      </c>
      <c r="AR47" s="82">
        <f t="shared" si="9"/>
        <v>80</v>
      </c>
      <c r="AS47" s="73">
        <f t="shared" si="19"/>
        <v>53.333333333333336</v>
      </c>
      <c r="AT47" s="76">
        <f t="shared" si="5"/>
        <v>55.890259418815262</v>
      </c>
    </row>
    <row r="48" spans="1:46" x14ac:dyDescent="0.25">
      <c r="K48" s="18"/>
      <c r="L48" s="27"/>
      <c r="M48" s="27"/>
      <c r="N48" s="43">
        <f t="shared" si="16"/>
        <v>64.798607860189009</v>
      </c>
      <c r="O48" s="43">
        <f t="shared" si="17"/>
        <v>49.949651965047252</v>
      </c>
      <c r="P48" s="51">
        <v>83</v>
      </c>
      <c r="R48" s="18"/>
      <c r="S48" s="27"/>
      <c r="T48" s="27"/>
      <c r="U48" s="43">
        <f t="shared" si="2"/>
        <v>51.763426740418787</v>
      </c>
      <c r="V48" s="36">
        <f t="shared" si="10"/>
        <v>41</v>
      </c>
      <c r="W48" s="63">
        <f t="shared" si="6"/>
        <v>82</v>
      </c>
      <c r="Y48" s="18"/>
      <c r="Z48" s="27"/>
      <c r="AA48" s="27"/>
      <c r="AB48" s="36">
        <f t="shared" si="11"/>
        <v>41</v>
      </c>
      <c r="AC48" s="82">
        <f t="shared" si="7"/>
        <v>82</v>
      </c>
      <c r="AD48" s="73">
        <f t="shared" si="18"/>
        <v>26.833333333333332</v>
      </c>
      <c r="AE48" s="76">
        <f t="shared" si="8"/>
        <v>27.421142246806262</v>
      </c>
      <c r="AG48" s="18"/>
      <c r="AH48" s="27"/>
      <c r="AI48" s="27"/>
      <c r="AJ48" s="43">
        <f t="shared" si="12"/>
        <v>31.41074139233503</v>
      </c>
      <c r="AK48" s="36">
        <f t="shared" si="13"/>
        <v>41</v>
      </c>
      <c r="AL48" s="63">
        <f t="shared" si="14"/>
        <v>82</v>
      </c>
      <c r="AN48" s="18"/>
      <c r="AO48" s="27"/>
      <c r="AP48" s="27"/>
      <c r="AQ48" s="36">
        <f t="shared" si="15"/>
        <v>41</v>
      </c>
      <c r="AR48" s="82">
        <f t="shared" si="9"/>
        <v>82</v>
      </c>
      <c r="AS48" s="73">
        <f t="shared" si="19"/>
        <v>53.166666666666664</v>
      </c>
      <c r="AT48" s="76">
        <f t="shared" si="5"/>
        <v>53.636913797445004</v>
      </c>
    </row>
    <row r="49" spans="11:46" x14ac:dyDescent="0.25">
      <c r="K49" s="18"/>
      <c r="L49" s="27"/>
      <c r="M49" s="27"/>
      <c r="N49" s="43">
        <f t="shared" si="16"/>
        <v>64.88432547334952</v>
      </c>
      <c r="O49" s="43">
        <f t="shared" si="17"/>
        <v>49.97108136833738</v>
      </c>
      <c r="P49" s="51">
        <v>85</v>
      </c>
      <c r="R49" s="18"/>
      <c r="S49" s="27"/>
      <c r="T49" s="27"/>
      <c r="U49" s="43">
        <f t="shared" si="2"/>
        <v>40.022207544268973</v>
      </c>
      <c r="V49" s="36">
        <f t="shared" si="10"/>
        <v>42</v>
      </c>
      <c r="W49" s="63">
        <f t="shared" si="6"/>
        <v>84</v>
      </c>
      <c r="Y49" s="18"/>
      <c r="Z49" s="27"/>
      <c r="AA49" s="27"/>
      <c r="AB49" s="36">
        <f t="shared" si="11"/>
        <v>42</v>
      </c>
      <c r="AC49" s="82">
        <f t="shared" si="7"/>
        <v>84</v>
      </c>
      <c r="AD49" s="73">
        <f t="shared" si="18"/>
        <v>27</v>
      </c>
      <c r="AE49" s="76">
        <f t="shared" si="8"/>
        <v>23.67406918142299</v>
      </c>
      <c r="AG49" s="18"/>
      <c r="AH49" s="27"/>
      <c r="AI49" s="27"/>
      <c r="AJ49" s="43">
        <f t="shared" si="12"/>
        <v>22.017766035415178</v>
      </c>
      <c r="AK49" s="36">
        <f t="shared" si="13"/>
        <v>42</v>
      </c>
      <c r="AL49" s="63">
        <f t="shared" si="14"/>
        <v>84</v>
      </c>
      <c r="AN49" s="18"/>
      <c r="AO49" s="27"/>
      <c r="AP49" s="27"/>
      <c r="AQ49" s="36">
        <f t="shared" si="15"/>
        <v>42</v>
      </c>
      <c r="AR49" s="82">
        <f t="shared" si="9"/>
        <v>84</v>
      </c>
      <c r="AS49" s="73">
        <f t="shared" si="19"/>
        <v>53</v>
      </c>
      <c r="AT49" s="76">
        <f t="shared" si="5"/>
        <v>50.33925534513839</v>
      </c>
    </row>
    <row r="50" spans="11:46" x14ac:dyDescent="0.25">
      <c r="K50" s="18"/>
      <c r="L50" s="27"/>
      <c r="M50" s="27"/>
      <c r="N50" s="43">
        <f t="shared" si="16"/>
        <v>64.94647670323144</v>
      </c>
      <c r="O50" s="43">
        <f t="shared" si="17"/>
        <v>49.98661917580786</v>
      </c>
      <c r="P50" s="51">
        <v>87</v>
      </c>
      <c r="R50" s="18"/>
      <c r="S50" s="27"/>
      <c r="T50" s="27"/>
      <c r="U50" s="43">
        <f t="shared" si="2"/>
        <v>50.439415277153593</v>
      </c>
      <c r="V50" s="36">
        <f t="shared" si="10"/>
        <v>43</v>
      </c>
      <c r="W50" s="63">
        <f t="shared" si="6"/>
        <v>86</v>
      </c>
      <c r="Y50" s="18"/>
      <c r="Z50" s="27"/>
      <c r="AA50" s="27"/>
      <c r="AB50" s="36">
        <f t="shared" si="11"/>
        <v>43</v>
      </c>
      <c r="AC50" s="82">
        <f t="shared" si="7"/>
        <v>86</v>
      </c>
      <c r="AD50" s="73">
        <f t="shared" si="18"/>
        <v>27.166666666666664</v>
      </c>
      <c r="AE50" s="76">
        <f t="shared" si="8"/>
        <v>27.313138425717863</v>
      </c>
      <c r="AG50" s="18"/>
      <c r="AH50" s="27"/>
      <c r="AI50" s="27"/>
      <c r="AJ50" s="43">
        <f t="shared" si="12"/>
        <v>30.351532221722877</v>
      </c>
      <c r="AK50" s="36">
        <f t="shared" si="13"/>
        <v>43</v>
      </c>
      <c r="AL50" s="63">
        <f t="shared" si="14"/>
        <v>86</v>
      </c>
      <c r="AN50" s="18"/>
      <c r="AO50" s="27"/>
      <c r="AP50" s="27"/>
      <c r="AQ50" s="36">
        <f t="shared" si="15"/>
        <v>43</v>
      </c>
      <c r="AR50" s="82">
        <f t="shared" si="9"/>
        <v>86</v>
      </c>
      <c r="AS50" s="73">
        <f t="shared" si="19"/>
        <v>52.833333333333336</v>
      </c>
      <c r="AT50" s="76">
        <f t="shared" si="5"/>
        <v>52.950510740574295</v>
      </c>
    </row>
    <row r="51" spans="11:46" x14ac:dyDescent="0.25">
      <c r="K51" s="18"/>
      <c r="L51" s="27"/>
      <c r="M51" s="27"/>
      <c r="N51" s="43">
        <f t="shared" si="16"/>
        <v>64.984987889820161</v>
      </c>
      <c r="O51" s="43">
        <f t="shared" si="17"/>
        <v>49.99624697245504</v>
      </c>
      <c r="P51" s="51">
        <v>89</v>
      </c>
      <c r="R51" s="18"/>
      <c r="S51" s="27"/>
      <c r="T51" s="27"/>
      <c r="U51" s="43">
        <f t="shared" si="2"/>
        <v>59.880780773039518</v>
      </c>
      <c r="V51" s="36">
        <f t="shared" si="10"/>
        <v>44</v>
      </c>
      <c r="W51" s="63">
        <f t="shared" si="6"/>
        <v>88</v>
      </c>
      <c r="Y51" s="18"/>
      <c r="Z51" s="27"/>
      <c r="AA51" s="27"/>
      <c r="AB51" s="36">
        <f t="shared" si="11"/>
        <v>44</v>
      </c>
      <c r="AC51" s="82">
        <f t="shared" si="7"/>
        <v>88</v>
      </c>
      <c r="AD51" s="73">
        <f t="shared" si="18"/>
        <v>27.333333333333332</v>
      </c>
      <c r="AE51" s="76">
        <f t="shared" si="8"/>
        <v>30.626926924346506</v>
      </c>
      <c r="AG51" s="18"/>
      <c r="AH51" s="27"/>
      <c r="AI51" s="27"/>
      <c r="AJ51" s="43">
        <f t="shared" si="12"/>
        <v>37.904624618431612</v>
      </c>
      <c r="AK51" s="36">
        <f t="shared" si="13"/>
        <v>44</v>
      </c>
      <c r="AL51" s="63">
        <f t="shared" si="14"/>
        <v>88</v>
      </c>
      <c r="AN51" s="18"/>
      <c r="AO51" s="27"/>
      <c r="AP51" s="27"/>
      <c r="AQ51" s="36">
        <f t="shared" si="15"/>
        <v>44</v>
      </c>
      <c r="AR51" s="82">
        <f t="shared" si="9"/>
        <v>88</v>
      </c>
      <c r="AS51" s="73">
        <f t="shared" si="19"/>
        <v>52.666666666666664</v>
      </c>
      <c r="AT51" s="76">
        <f t="shared" si="5"/>
        <v>55.301541539477199</v>
      </c>
    </row>
    <row r="52" spans="11:46" x14ac:dyDescent="0.25">
      <c r="K52" s="18"/>
      <c r="L52" s="27"/>
      <c r="M52" s="27"/>
      <c r="N52" s="43">
        <f t="shared" si="16"/>
        <v>64.999813390663064</v>
      </c>
      <c r="O52" s="43">
        <f t="shared" si="17"/>
        <v>49.999953347665766</v>
      </c>
      <c r="P52" s="51">
        <v>91</v>
      </c>
      <c r="R52" s="18"/>
      <c r="S52" s="27"/>
      <c r="T52" s="27"/>
      <c r="U52" s="43">
        <f t="shared" si="2"/>
        <v>47.379160409819036</v>
      </c>
      <c r="V52" s="36">
        <f t="shared" si="10"/>
        <v>45</v>
      </c>
      <c r="W52" s="63">
        <f t="shared" si="6"/>
        <v>90</v>
      </c>
      <c r="Y52" s="18"/>
      <c r="Z52" s="27"/>
      <c r="AA52" s="27"/>
      <c r="AB52" s="36">
        <f t="shared" si="11"/>
        <v>45</v>
      </c>
      <c r="AC52" s="82">
        <f t="shared" si="7"/>
        <v>90</v>
      </c>
      <c r="AD52" s="73">
        <f t="shared" si="18"/>
        <v>27.5</v>
      </c>
      <c r="AE52" s="76">
        <f t="shared" si="8"/>
        <v>26.626386803273011</v>
      </c>
      <c r="AG52" s="18"/>
      <c r="AH52" s="27"/>
      <c r="AI52" s="27"/>
      <c r="AJ52" s="43">
        <f t="shared" si="12"/>
        <v>27.903328327855228</v>
      </c>
      <c r="AK52" s="36">
        <f t="shared" si="13"/>
        <v>45</v>
      </c>
      <c r="AL52" s="63">
        <f t="shared" si="14"/>
        <v>90</v>
      </c>
      <c r="AN52" s="18"/>
      <c r="AO52" s="27"/>
      <c r="AP52" s="27"/>
      <c r="AQ52" s="36">
        <f t="shared" si="15"/>
        <v>45</v>
      </c>
      <c r="AR52" s="82">
        <f t="shared" si="9"/>
        <v>90</v>
      </c>
      <c r="AS52" s="73">
        <f t="shared" si="19"/>
        <v>52.5</v>
      </c>
      <c r="AT52" s="76">
        <f t="shared" si="5"/>
        <v>51.801109442618412</v>
      </c>
    </row>
    <row r="53" spans="11:46" x14ac:dyDescent="0.25">
      <c r="K53" s="18"/>
      <c r="L53" s="27"/>
      <c r="M53" s="27"/>
      <c r="N53" s="43">
        <f t="shared" si="16"/>
        <v>64.990935634963677</v>
      </c>
      <c r="O53" s="43">
        <f t="shared" si="17"/>
        <v>49.997733908740919</v>
      </c>
      <c r="P53" s="51">
        <v>93</v>
      </c>
      <c r="R53" s="18"/>
      <c r="S53" s="27"/>
      <c r="T53" s="27"/>
      <c r="U53" s="43">
        <f t="shared" si="2"/>
        <v>40.697833744769156</v>
      </c>
      <c r="V53" s="36">
        <f t="shared" si="10"/>
        <v>46</v>
      </c>
      <c r="W53" s="63">
        <f t="shared" si="6"/>
        <v>92</v>
      </c>
      <c r="Y53" s="18"/>
      <c r="Z53" s="27"/>
      <c r="AA53" s="27"/>
      <c r="AB53" s="36">
        <f t="shared" si="11"/>
        <v>46</v>
      </c>
      <c r="AC53" s="82">
        <f t="shared" si="7"/>
        <v>92</v>
      </c>
      <c r="AD53" s="73">
        <f t="shared" si="18"/>
        <v>27.666666666666664</v>
      </c>
      <c r="AE53" s="76">
        <f t="shared" si="8"/>
        <v>24.565944581589715</v>
      </c>
      <c r="AG53" s="18"/>
      <c r="AH53" s="27"/>
      <c r="AI53" s="27"/>
      <c r="AJ53" s="43">
        <f t="shared" si="12"/>
        <v>22.558266995815323</v>
      </c>
      <c r="AK53" s="36">
        <f t="shared" si="13"/>
        <v>46</v>
      </c>
      <c r="AL53" s="63">
        <f t="shared" si="14"/>
        <v>92</v>
      </c>
      <c r="AN53" s="18"/>
      <c r="AO53" s="27"/>
      <c r="AP53" s="27"/>
      <c r="AQ53" s="36">
        <f t="shared" si="15"/>
        <v>46</v>
      </c>
      <c r="AR53" s="82">
        <f t="shared" si="9"/>
        <v>92</v>
      </c>
      <c r="AS53" s="73">
        <f t="shared" si="19"/>
        <v>52.333333333333336</v>
      </c>
      <c r="AT53" s="76">
        <f t="shared" si="5"/>
        <v>49.852755665271779</v>
      </c>
    </row>
    <row r="54" spans="11:46" x14ac:dyDescent="0.25">
      <c r="K54" s="18"/>
      <c r="L54" s="27"/>
      <c r="M54" s="27"/>
      <c r="N54" s="43">
        <f t="shared" si="16"/>
        <v>64.958365144406258</v>
      </c>
      <c r="O54" s="43">
        <f t="shared" si="17"/>
        <v>49.989591286101565</v>
      </c>
      <c r="P54" s="51">
        <v>95</v>
      </c>
      <c r="R54" s="18"/>
      <c r="S54" s="27"/>
      <c r="T54" s="27"/>
      <c r="U54" s="43">
        <f t="shared" si="2"/>
        <v>54.674520579476024</v>
      </c>
      <c r="V54" s="36">
        <f t="shared" si="10"/>
        <v>47</v>
      </c>
      <c r="W54" s="63">
        <f t="shared" si="6"/>
        <v>94</v>
      </c>
      <c r="Y54" s="18"/>
      <c r="Z54" s="27"/>
      <c r="AA54" s="27"/>
      <c r="AB54" s="36">
        <f t="shared" si="11"/>
        <v>47</v>
      </c>
      <c r="AC54" s="82">
        <f t="shared" si="7"/>
        <v>94</v>
      </c>
      <c r="AD54" s="73">
        <f t="shared" si="18"/>
        <v>27.833333333333332</v>
      </c>
      <c r="AE54" s="76">
        <f t="shared" si="8"/>
        <v>29.391506859825338</v>
      </c>
      <c r="AG54" s="18"/>
      <c r="AH54" s="27"/>
      <c r="AI54" s="27"/>
      <c r="AJ54" s="43">
        <f t="shared" si="12"/>
        <v>33.739616463580816</v>
      </c>
      <c r="AK54" s="36">
        <f t="shared" si="13"/>
        <v>47</v>
      </c>
      <c r="AL54" s="63">
        <f t="shared" si="14"/>
        <v>94</v>
      </c>
      <c r="AN54" s="18"/>
      <c r="AO54" s="27"/>
      <c r="AP54" s="27"/>
      <c r="AQ54" s="36">
        <f t="shared" si="15"/>
        <v>47</v>
      </c>
      <c r="AR54" s="82">
        <f t="shared" si="9"/>
        <v>94</v>
      </c>
      <c r="AS54" s="73">
        <f t="shared" si="19"/>
        <v>52.166666666666664</v>
      </c>
      <c r="AT54" s="76">
        <f t="shared" si="5"/>
        <v>53.413205487860267</v>
      </c>
    </row>
    <row r="55" spans="11:46" x14ac:dyDescent="0.25">
      <c r="K55" s="18"/>
      <c r="L55" s="27"/>
      <c r="M55" s="27"/>
      <c r="N55" s="43">
        <f t="shared" si="16"/>
        <v>64.90214052068562</v>
      </c>
      <c r="O55" s="43">
        <f t="shared" si="17"/>
        <v>49.975535130171409</v>
      </c>
      <c r="P55" s="51">
        <v>97</v>
      </c>
      <c r="R55" s="18"/>
      <c r="S55" s="27"/>
      <c r="T55" s="27"/>
      <c r="U55" s="43">
        <f t="shared" si="2"/>
        <v>58.270151369156309</v>
      </c>
      <c r="V55" s="36">
        <f t="shared" si="10"/>
        <v>48</v>
      </c>
      <c r="W55" s="63">
        <f t="shared" si="6"/>
        <v>96</v>
      </c>
      <c r="Y55" s="18"/>
      <c r="Z55" s="27"/>
      <c r="AA55" s="27"/>
      <c r="AB55" s="36">
        <f t="shared" si="11"/>
        <v>48</v>
      </c>
      <c r="AC55" s="82">
        <f t="shared" si="7"/>
        <v>96</v>
      </c>
      <c r="AD55" s="73">
        <f t="shared" si="18"/>
        <v>28</v>
      </c>
      <c r="AE55" s="76">
        <f t="shared" si="8"/>
        <v>30.756717123052105</v>
      </c>
      <c r="AG55" s="18"/>
      <c r="AH55" s="27"/>
      <c r="AI55" s="27"/>
      <c r="AJ55" s="43">
        <f t="shared" si="12"/>
        <v>36.616121095325049</v>
      </c>
      <c r="AK55" s="36">
        <f t="shared" si="13"/>
        <v>48</v>
      </c>
      <c r="AL55" s="63">
        <f t="shared" si="14"/>
        <v>96</v>
      </c>
      <c r="AN55" s="18"/>
      <c r="AO55" s="27"/>
      <c r="AP55" s="27"/>
      <c r="AQ55" s="36">
        <f t="shared" si="15"/>
        <v>48</v>
      </c>
      <c r="AR55" s="82">
        <f t="shared" si="9"/>
        <v>96</v>
      </c>
      <c r="AS55" s="73">
        <f t="shared" si="19"/>
        <v>52</v>
      </c>
      <c r="AT55" s="76">
        <f t="shared" si="5"/>
        <v>54.205373698441683</v>
      </c>
    </row>
    <row r="56" spans="11:46" x14ac:dyDescent="0.25">
      <c r="K56" s="18"/>
      <c r="L56" s="27"/>
      <c r="M56" s="27"/>
      <c r="N56" s="43">
        <f t="shared" si="16"/>
        <v>64.822328399757524</v>
      </c>
      <c r="O56" s="43">
        <f t="shared" si="17"/>
        <v>49.955582099939377</v>
      </c>
      <c r="P56" s="51">
        <v>99</v>
      </c>
      <c r="R56" s="18"/>
      <c r="S56" s="27"/>
      <c r="T56" s="27"/>
      <c r="U56" s="43">
        <f t="shared" si="2"/>
        <v>43.4996409889782</v>
      </c>
      <c r="V56" s="36">
        <f t="shared" si="10"/>
        <v>49</v>
      </c>
      <c r="W56" s="63">
        <f t="shared" si="6"/>
        <v>98</v>
      </c>
      <c r="Y56" s="18"/>
      <c r="Z56" s="27"/>
      <c r="AA56" s="27"/>
      <c r="AB56" s="36">
        <f t="shared" si="11"/>
        <v>49</v>
      </c>
      <c r="AC56" s="82">
        <f t="shared" si="7"/>
        <v>98</v>
      </c>
      <c r="AD56" s="73">
        <f t="shared" si="18"/>
        <v>28.166666666666664</v>
      </c>
      <c r="AE56" s="76">
        <f t="shared" si="8"/>
        <v>25.999880329659398</v>
      </c>
      <c r="AG56" s="18"/>
      <c r="AH56" s="27"/>
      <c r="AI56" s="27"/>
      <c r="AJ56" s="43">
        <f t="shared" si="12"/>
        <v>24.799712791182557</v>
      </c>
      <c r="AK56" s="36">
        <f t="shared" si="13"/>
        <v>49</v>
      </c>
      <c r="AL56" s="63">
        <f t="shared" si="14"/>
        <v>98</v>
      </c>
      <c r="AN56" s="18"/>
      <c r="AO56" s="27"/>
      <c r="AP56" s="27"/>
      <c r="AQ56" s="36">
        <f t="shared" si="15"/>
        <v>49</v>
      </c>
      <c r="AR56" s="82">
        <f t="shared" si="9"/>
        <v>98</v>
      </c>
      <c r="AS56" s="73">
        <f t="shared" si="19"/>
        <v>51.833333333333336</v>
      </c>
      <c r="AT56" s="76">
        <f t="shared" si="5"/>
        <v>50.099904263727524</v>
      </c>
    </row>
    <row r="57" spans="11:46" x14ac:dyDescent="0.25">
      <c r="K57" s="18"/>
      <c r="L57" s="27"/>
      <c r="M57" s="27"/>
      <c r="N57" s="43">
        <f t="shared" si="16"/>
        <v>64.719023372863418</v>
      </c>
      <c r="O57" s="43">
        <f t="shared" si="17"/>
        <v>49.929755843215851</v>
      </c>
      <c r="P57" s="51">
        <v>101</v>
      </c>
      <c r="R57" s="18"/>
      <c r="S57" s="27"/>
      <c r="T57" s="27"/>
      <c r="U57" s="43">
        <f t="shared" si="2"/>
        <v>43.164962061225715</v>
      </c>
      <c r="V57" s="36">
        <f t="shared" si="10"/>
        <v>50</v>
      </c>
      <c r="W57" s="63">
        <f t="shared" si="6"/>
        <v>100</v>
      </c>
      <c r="Y57" s="18"/>
      <c r="Z57" s="27"/>
      <c r="AA57" s="27"/>
      <c r="AB57" s="36">
        <f t="shared" si="11"/>
        <v>50</v>
      </c>
      <c r="AC57" s="82">
        <f t="shared" si="7"/>
        <v>100</v>
      </c>
      <c r="AD57" s="73">
        <f t="shared" si="18"/>
        <v>28.333333333333332</v>
      </c>
      <c r="AE57" s="76">
        <f t="shared" si="8"/>
        <v>26.054987353741904</v>
      </c>
      <c r="AG57" s="18"/>
      <c r="AH57" s="27"/>
      <c r="AI57" s="27"/>
      <c r="AJ57" s="43">
        <f t="shared" si="12"/>
        <v>24.531969648980571</v>
      </c>
      <c r="AK57" s="36">
        <f t="shared" si="13"/>
        <v>50</v>
      </c>
      <c r="AL57" s="63">
        <f t="shared" si="14"/>
        <v>100</v>
      </c>
      <c r="AN57" s="18"/>
      <c r="AO57" s="27"/>
      <c r="AP57" s="27"/>
      <c r="AQ57" s="36">
        <f t="shared" si="15"/>
        <v>50</v>
      </c>
      <c r="AR57" s="82">
        <f t="shared" si="9"/>
        <v>100</v>
      </c>
      <c r="AS57" s="73">
        <f t="shared" si="19"/>
        <v>51.666666666666671</v>
      </c>
      <c r="AT57" s="76">
        <f t="shared" si="5"/>
        <v>49.843989882993526</v>
      </c>
    </row>
    <row r="58" spans="11:46" x14ac:dyDescent="0.25">
      <c r="K58" s="18"/>
      <c r="L58" s="27"/>
      <c r="M58" s="27"/>
      <c r="N58" s="43">
        <f t="shared" si="16"/>
        <v>64.59234787442341</v>
      </c>
      <c r="O58" s="43">
        <f t="shared" si="17"/>
        <v>49.898086968605853</v>
      </c>
      <c r="P58" s="51">
        <v>103</v>
      </c>
      <c r="R58" s="18"/>
      <c r="S58" s="27"/>
      <c r="T58" s="27"/>
      <c r="U58" s="43">
        <f t="shared" si="2"/>
        <v>58.009361010215038</v>
      </c>
      <c r="V58" s="36">
        <f t="shared" si="10"/>
        <v>51</v>
      </c>
      <c r="W58" s="63">
        <f t="shared" si="6"/>
        <v>102</v>
      </c>
      <c r="Y58" s="18"/>
      <c r="Z58" s="27"/>
      <c r="AA58" s="27"/>
      <c r="AB58" s="36">
        <f t="shared" si="11"/>
        <v>51</v>
      </c>
      <c r="AC58" s="82">
        <f t="shared" si="7"/>
        <v>102</v>
      </c>
      <c r="AD58" s="73">
        <f t="shared" si="18"/>
        <v>28.5</v>
      </c>
      <c r="AE58" s="76">
        <f t="shared" si="8"/>
        <v>31.169787003405013</v>
      </c>
      <c r="AG58" s="18"/>
      <c r="AH58" s="27"/>
      <c r="AI58" s="27"/>
      <c r="AJ58" s="43">
        <f t="shared" si="12"/>
        <v>36.407488808172033</v>
      </c>
      <c r="AK58" s="36">
        <f t="shared" si="13"/>
        <v>51</v>
      </c>
      <c r="AL58" s="63">
        <f t="shared" si="14"/>
        <v>102</v>
      </c>
      <c r="AN58" s="18"/>
      <c r="AO58" s="27"/>
      <c r="AP58" s="27"/>
      <c r="AQ58" s="36">
        <f t="shared" si="15"/>
        <v>51</v>
      </c>
      <c r="AR58" s="82">
        <f t="shared" si="9"/>
        <v>102</v>
      </c>
      <c r="AS58" s="73">
        <f t="shared" si="19"/>
        <v>51.5</v>
      </c>
      <c r="AT58" s="76">
        <f t="shared" si="5"/>
        <v>53.635829602724009</v>
      </c>
    </row>
    <row r="59" spans="11:46" x14ac:dyDescent="0.25">
      <c r="K59" s="18"/>
      <c r="L59" s="27"/>
      <c r="M59" s="27"/>
      <c r="N59" s="43">
        <f t="shared" si="16"/>
        <v>64.442452036930149</v>
      </c>
      <c r="O59" s="43">
        <f t="shared" si="17"/>
        <v>49.860613009232537</v>
      </c>
      <c r="P59" s="51">
        <v>105</v>
      </c>
      <c r="R59" s="18"/>
      <c r="S59" s="27"/>
      <c r="T59" s="27"/>
      <c r="U59" s="43">
        <f t="shared" si="2"/>
        <v>55.066775365115149</v>
      </c>
      <c r="V59" s="36">
        <f t="shared" si="10"/>
        <v>52</v>
      </c>
      <c r="W59" s="63">
        <f t="shared" si="6"/>
        <v>104</v>
      </c>
      <c r="Y59" s="18"/>
      <c r="Z59" s="27"/>
      <c r="AA59" s="27"/>
      <c r="AB59" s="36">
        <f t="shared" si="11"/>
        <v>52</v>
      </c>
      <c r="AC59" s="82">
        <f t="shared" si="7"/>
        <v>104</v>
      </c>
      <c r="AD59" s="73">
        <f t="shared" si="18"/>
        <v>28.666666666666664</v>
      </c>
      <c r="AE59" s="76">
        <f t="shared" si="8"/>
        <v>30.355591788371715</v>
      </c>
      <c r="AG59" s="18"/>
      <c r="AH59" s="27"/>
      <c r="AI59" s="27"/>
      <c r="AJ59" s="43">
        <f t="shared" si="12"/>
        <v>34.05342029209212</v>
      </c>
      <c r="AK59" s="36">
        <f t="shared" si="13"/>
        <v>52</v>
      </c>
      <c r="AL59" s="63">
        <f t="shared" si="14"/>
        <v>104</v>
      </c>
      <c r="AN59" s="18"/>
      <c r="AO59" s="27"/>
      <c r="AP59" s="27"/>
      <c r="AQ59" s="36">
        <f t="shared" si="15"/>
        <v>52</v>
      </c>
      <c r="AR59" s="82">
        <f t="shared" si="9"/>
        <v>104</v>
      </c>
      <c r="AS59" s="73">
        <f t="shared" si="19"/>
        <v>51.333333333333336</v>
      </c>
      <c r="AT59" s="76">
        <f t="shared" si="5"/>
        <v>52.684473430697373</v>
      </c>
    </row>
    <row r="60" spans="11:46" x14ac:dyDescent="0.25">
      <c r="K60" s="18"/>
      <c r="L60" s="27"/>
      <c r="M60" s="27"/>
      <c r="N60" s="43">
        <f t="shared" si="16"/>
        <v>64.269513513015767</v>
      </c>
      <c r="O60" s="43">
        <f t="shared" si="17"/>
        <v>49.817378378253942</v>
      </c>
      <c r="P60" s="51">
        <v>107</v>
      </c>
      <c r="R60" s="18"/>
      <c r="S60" s="27"/>
      <c r="T60" s="27"/>
      <c r="U60" s="43">
        <f t="shared" si="2"/>
        <v>40.872024254371667</v>
      </c>
      <c r="V60" s="36">
        <f t="shared" si="10"/>
        <v>53</v>
      </c>
      <c r="W60" s="63">
        <f t="shared" si="6"/>
        <v>106</v>
      </c>
      <c r="Y60" s="18"/>
      <c r="Z60" s="27"/>
      <c r="AA60" s="27"/>
      <c r="AB60" s="36">
        <f t="shared" si="11"/>
        <v>53</v>
      </c>
      <c r="AC60" s="82">
        <f t="shared" si="7"/>
        <v>106</v>
      </c>
      <c r="AD60" s="73">
        <f t="shared" si="18"/>
        <v>28.833333333333332</v>
      </c>
      <c r="AE60" s="76">
        <f t="shared" si="8"/>
        <v>25.790674751457221</v>
      </c>
      <c r="AG60" s="18"/>
      <c r="AH60" s="27"/>
      <c r="AI60" s="27"/>
      <c r="AJ60" s="43">
        <f t="shared" si="12"/>
        <v>22.697619403497335</v>
      </c>
      <c r="AK60" s="36">
        <f t="shared" si="13"/>
        <v>53</v>
      </c>
      <c r="AL60" s="63">
        <f t="shared" si="14"/>
        <v>106</v>
      </c>
      <c r="AN60" s="18"/>
      <c r="AO60" s="27"/>
      <c r="AP60" s="27"/>
      <c r="AQ60" s="36">
        <f t="shared" si="15"/>
        <v>53</v>
      </c>
      <c r="AR60" s="82">
        <f t="shared" si="9"/>
        <v>106</v>
      </c>
      <c r="AS60" s="73">
        <f t="shared" si="19"/>
        <v>51.166666666666671</v>
      </c>
      <c r="AT60" s="76">
        <f t="shared" si="5"/>
        <v>48.732539801165785</v>
      </c>
    </row>
    <row r="61" spans="11:46" x14ac:dyDescent="0.25">
      <c r="K61" s="18"/>
      <c r="L61" s="27"/>
      <c r="M61" s="27"/>
      <c r="N61" s="43">
        <f t="shared" si="16"/>
        <v>64.073737264902562</v>
      </c>
      <c r="O61" s="43">
        <f t="shared" si="17"/>
        <v>49.768434316225644</v>
      </c>
      <c r="P61" s="51">
        <v>109</v>
      </c>
      <c r="R61" s="18"/>
      <c r="S61" s="27"/>
      <c r="T61" s="27"/>
      <c r="U61" s="43">
        <f t="shared" si="2"/>
        <v>46.948448803664022</v>
      </c>
      <c r="V61" s="36">
        <f t="shared" si="10"/>
        <v>54</v>
      </c>
      <c r="W61" s="63">
        <f t="shared" si="6"/>
        <v>108</v>
      </c>
      <c r="Y61" s="18"/>
      <c r="Z61" s="27"/>
      <c r="AA61" s="27"/>
      <c r="AB61" s="36">
        <f t="shared" si="11"/>
        <v>54</v>
      </c>
      <c r="AC61" s="82">
        <f t="shared" si="7"/>
        <v>108</v>
      </c>
      <c r="AD61" s="73">
        <f t="shared" si="18"/>
        <v>29</v>
      </c>
      <c r="AE61" s="76">
        <f t="shared" si="8"/>
        <v>27.982816267888008</v>
      </c>
      <c r="AG61" s="18"/>
      <c r="AH61" s="27"/>
      <c r="AI61" s="27"/>
      <c r="AJ61" s="43">
        <f t="shared" si="12"/>
        <v>27.558759042931218</v>
      </c>
      <c r="AK61" s="36">
        <f t="shared" si="13"/>
        <v>54</v>
      </c>
      <c r="AL61" s="63">
        <f t="shared" si="14"/>
        <v>108</v>
      </c>
      <c r="AN61" s="18"/>
      <c r="AO61" s="27"/>
      <c r="AP61" s="27"/>
      <c r="AQ61" s="36">
        <f t="shared" si="15"/>
        <v>54</v>
      </c>
      <c r="AR61" s="82">
        <f t="shared" si="9"/>
        <v>108</v>
      </c>
      <c r="AS61" s="73">
        <f t="shared" si="19"/>
        <v>51</v>
      </c>
      <c r="AT61" s="76">
        <f t="shared" si="5"/>
        <v>50.18625301431041</v>
      </c>
    </row>
    <row r="62" spans="11:46" x14ac:dyDescent="0.25">
      <c r="K62" s="18"/>
      <c r="L62" s="27"/>
      <c r="M62" s="27"/>
      <c r="N62" s="43">
        <f t="shared" si="16"/>
        <v>63.855355321487188</v>
      </c>
      <c r="O62" s="43">
        <f t="shared" si="17"/>
        <v>49.713838830371799</v>
      </c>
      <c r="P62" s="51">
        <v>111</v>
      </c>
      <c r="R62" s="18"/>
      <c r="S62" s="27"/>
      <c r="T62" s="27"/>
      <c r="U62" s="43">
        <f t="shared" si="2"/>
        <v>59.801680397622881</v>
      </c>
      <c r="V62" s="36">
        <f t="shared" si="10"/>
        <v>55</v>
      </c>
      <c r="W62" s="63">
        <f t="shared" si="6"/>
        <v>110</v>
      </c>
      <c r="Y62" s="18"/>
      <c r="Z62" s="27"/>
      <c r="AA62" s="27"/>
      <c r="AB62" s="36">
        <f t="shared" si="11"/>
        <v>55</v>
      </c>
      <c r="AC62" s="82">
        <f t="shared" si="7"/>
        <v>110</v>
      </c>
      <c r="AD62" s="73">
        <f t="shared" si="18"/>
        <v>29.166666666666664</v>
      </c>
      <c r="AE62" s="76">
        <f t="shared" si="8"/>
        <v>32.433893465874291</v>
      </c>
      <c r="AG62" s="18"/>
      <c r="AH62" s="27"/>
      <c r="AI62" s="27"/>
      <c r="AJ62" s="43">
        <f t="shared" si="12"/>
        <v>37.841344318098308</v>
      </c>
      <c r="AK62" s="36">
        <f t="shared" si="13"/>
        <v>55</v>
      </c>
      <c r="AL62" s="63">
        <f t="shared" si="14"/>
        <v>110</v>
      </c>
      <c r="AN62" s="18"/>
      <c r="AO62" s="27"/>
      <c r="AP62" s="27"/>
      <c r="AQ62" s="36">
        <f t="shared" si="15"/>
        <v>55</v>
      </c>
      <c r="AR62" s="82">
        <f t="shared" si="9"/>
        <v>110</v>
      </c>
      <c r="AS62" s="73">
        <f t="shared" si="19"/>
        <v>50.833333333333336</v>
      </c>
      <c r="AT62" s="76">
        <f t="shared" si="5"/>
        <v>53.447114772699436</v>
      </c>
    </row>
    <row r="63" spans="11:46" x14ac:dyDescent="0.25">
      <c r="K63" s="18"/>
      <c r="L63" s="27"/>
      <c r="M63" s="27"/>
      <c r="N63" s="43">
        <f t="shared" si="16"/>
        <v>63.614626503345995</v>
      </c>
      <c r="O63" s="43">
        <f t="shared" si="17"/>
        <v>49.653656625836497</v>
      </c>
      <c r="P63" s="51">
        <v>113</v>
      </c>
      <c r="R63" s="18"/>
      <c r="S63" s="27"/>
      <c r="T63" s="27"/>
      <c r="U63" s="43">
        <f t="shared" si="2"/>
        <v>50.88759022816636</v>
      </c>
      <c r="V63" s="36">
        <f t="shared" si="10"/>
        <v>56</v>
      </c>
      <c r="W63" s="63">
        <f t="shared" si="6"/>
        <v>112</v>
      </c>
      <c r="Y63" s="18"/>
      <c r="Z63" s="27"/>
      <c r="AA63" s="27"/>
      <c r="AB63" s="36">
        <f t="shared" si="11"/>
        <v>56</v>
      </c>
      <c r="AC63" s="82">
        <f t="shared" si="7"/>
        <v>112</v>
      </c>
      <c r="AD63" s="73">
        <f t="shared" si="18"/>
        <v>29.333333333333332</v>
      </c>
      <c r="AE63" s="76">
        <f t="shared" si="8"/>
        <v>29.629196742722119</v>
      </c>
      <c r="AG63" s="18"/>
      <c r="AH63" s="27"/>
      <c r="AI63" s="27"/>
      <c r="AJ63" s="43">
        <f t="shared" si="12"/>
        <v>30.710072182533086</v>
      </c>
      <c r="AK63" s="36">
        <f t="shared" si="13"/>
        <v>56</v>
      </c>
      <c r="AL63" s="63">
        <f t="shared" si="14"/>
        <v>112</v>
      </c>
      <c r="AN63" s="18"/>
      <c r="AO63" s="27"/>
      <c r="AP63" s="27"/>
      <c r="AQ63" s="36">
        <f t="shared" si="15"/>
        <v>56</v>
      </c>
      <c r="AR63" s="82">
        <f t="shared" si="9"/>
        <v>112</v>
      </c>
      <c r="AS63" s="73">
        <f t="shared" si="19"/>
        <v>50.666666666666671</v>
      </c>
      <c r="AT63" s="76">
        <f t="shared" si="5"/>
        <v>50.903357394177704</v>
      </c>
    </row>
    <row r="64" spans="11:46" x14ac:dyDescent="0.25">
      <c r="K64" s="18"/>
      <c r="L64" s="27"/>
      <c r="M64" s="27"/>
      <c r="N64" s="43">
        <f t="shared" si="16"/>
        <v>63.351836115987695</v>
      </c>
      <c r="O64" s="43">
        <f t="shared" si="17"/>
        <v>49.587959028996927</v>
      </c>
      <c r="P64" s="51">
        <v>115</v>
      </c>
      <c r="R64" s="18"/>
      <c r="S64" s="27"/>
      <c r="T64" s="27"/>
      <c r="U64" s="43">
        <f t="shared" si="2"/>
        <v>40.002362324485603</v>
      </c>
      <c r="V64" s="36">
        <f t="shared" si="10"/>
        <v>57</v>
      </c>
      <c r="W64" s="63">
        <f t="shared" si="6"/>
        <v>114</v>
      </c>
      <c r="Y64" s="18"/>
      <c r="Z64" s="27"/>
      <c r="AA64" s="27"/>
      <c r="AB64" s="36">
        <f t="shared" si="11"/>
        <v>57</v>
      </c>
      <c r="AC64" s="82">
        <f t="shared" si="7"/>
        <v>114</v>
      </c>
      <c r="AD64" s="73">
        <f t="shared" si="18"/>
        <v>29.5</v>
      </c>
      <c r="AE64" s="76">
        <f t="shared" si="8"/>
        <v>26.167454108161866</v>
      </c>
      <c r="AG64" s="18"/>
      <c r="AH64" s="27"/>
      <c r="AI64" s="27"/>
      <c r="AJ64" s="43">
        <f t="shared" si="12"/>
        <v>22.001889859588484</v>
      </c>
      <c r="AK64" s="36">
        <f t="shared" si="13"/>
        <v>57</v>
      </c>
      <c r="AL64" s="63">
        <f t="shared" si="14"/>
        <v>114</v>
      </c>
      <c r="AN64" s="18"/>
      <c r="AO64" s="27"/>
      <c r="AP64" s="27"/>
      <c r="AQ64" s="36">
        <f t="shared" si="15"/>
        <v>57</v>
      </c>
      <c r="AR64" s="82">
        <f t="shared" si="9"/>
        <v>114</v>
      </c>
      <c r="AS64" s="73">
        <f t="shared" si="19"/>
        <v>50.5</v>
      </c>
      <c r="AT64" s="76">
        <f t="shared" si="5"/>
        <v>47.833963286529496</v>
      </c>
    </row>
    <row r="65" spans="11:46" x14ac:dyDescent="0.25">
      <c r="K65" s="18"/>
      <c r="L65" s="27"/>
      <c r="M65" s="27"/>
      <c r="N65" s="43">
        <f t="shared" si="16"/>
        <v>63.067295611716716</v>
      </c>
      <c r="O65" s="43">
        <f t="shared" si="17"/>
        <v>49.516823902929175</v>
      </c>
      <c r="P65" s="51">
        <v>117</v>
      </c>
      <c r="R65" s="18"/>
      <c r="S65" s="27"/>
      <c r="T65" s="27"/>
      <c r="U65" s="43">
        <f t="shared" si="2"/>
        <v>51.319633107636555</v>
      </c>
      <c r="V65" s="36">
        <f t="shared" si="10"/>
        <v>58</v>
      </c>
      <c r="W65" s="63">
        <f t="shared" si="6"/>
        <v>116</v>
      </c>
      <c r="Y65" s="18"/>
      <c r="Z65" s="27"/>
      <c r="AA65" s="27"/>
      <c r="AB65" s="36">
        <f t="shared" si="11"/>
        <v>58</v>
      </c>
      <c r="AC65" s="82">
        <f t="shared" si="7"/>
        <v>116</v>
      </c>
      <c r="AD65" s="73">
        <f t="shared" si="18"/>
        <v>29.666666666666664</v>
      </c>
      <c r="AE65" s="76">
        <f t="shared" si="8"/>
        <v>30.106544369212184</v>
      </c>
      <c r="AG65" s="18"/>
      <c r="AH65" s="27"/>
      <c r="AI65" s="27"/>
      <c r="AJ65" s="43">
        <f t="shared" si="12"/>
        <v>31.055706486109244</v>
      </c>
      <c r="AK65" s="36">
        <f t="shared" si="13"/>
        <v>58</v>
      </c>
      <c r="AL65" s="63">
        <f t="shared" si="14"/>
        <v>116</v>
      </c>
      <c r="AN65" s="18"/>
      <c r="AO65" s="27"/>
      <c r="AP65" s="27"/>
      <c r="AQ65" s="36">
        <f t="shared" si="15"/>
        <v>58</v>
      </c>
      <c r="AR65" s="82">
        <f t="shared" si="9"/>
        <v>116</v>
      </c>
      <c r="AS65" s="73">
        <f t="shared" si="19"/>
        <v>50.333333333333336</v>
      </c>
      <c r="AT65" s="76">
        <f t="shared" si="5"/>
        <v>50.685235495369753</v>
      </c>
    </row>
    <row r="66" spans="11:46" x14ac:dyDescent="0.25">
      <c r="K66" s="18"/>
      <c r="L66" s="27"/>
      <c r="M66" s="27"/>
      <c r="N66" s="43">
        <f t="shared" si="16"/>
        <v>62.76134222050802</v>
      </c>
      <c r="O66" s="43">
        <f t="shared" si="17"/>
        <v>49.440335555127007</v>
      </c>
      <c r="P66" s="51">
        <v>119</v>
      </c>
      <c r="R66" s="18"/>
      <c r="S66" s="27"/>
      <c r="T66" s="27"/>
      <c r="U66" s="43">
        <f t="shared" si="2"/>
        <v>59.706296352252885</v>
      </c>
      <c r="V66" s="36">
        <f t="shared" si="10"/>
        <v>59</v>
      </c>
      <c r="W66" s="63">
        <f t="shared" si="6"/>
        <v>118</v>
      </c>
      <c r="Y66" s="18"/>
      <c r="Z66" s="27"/>
      <c r="AA66" s="27"/>
      <c r="AB66" s="36">
        <f t="shared" si="11"/>
        <v>59</v>
      </c>
      <c r="AC66" s="82">
        <f t="shared" si="7"/>
        <v>118</v>
      </c>
      <c r="AD66" s="73">
        <f t="shared" si="18"/>
        <v>29.833333333333332</v>
      </c>
      <c r="AE66" s="76">
        <f t="shared" si="8"/>
        <v>33.068765450750959</v>
      </c>
      <c r="AG66" s="18"/>
      <c r="AH66" s="27"/>
      <c r="AI66" s="27"/>
      <c r="AJ66" s="43">
        <f t="shared" si="12"/>
        <v>37.765037081802305</v>
      </c>
      <c r="AK66" s="36">
        <f t="shared" si="13"/>
        <v>59</v>
      </c>
      <c r="AL66" s="63">
        <f t="shared" si="14"/>
        <v>118</v>
      </c>
      <c r="AN66" s="18"/>
      <c r="AO66" s="27"/>
      <c r="AP66" s="27"/>
      <c r="AQ66" s="36">
        <f t="shared" si="15"/>
        <v>59</v>
      </c>
      <c r="AR66" s="82">
        <f t="shared" si="9"/>
        <v>118</v>
      </c>
      <c r="AS66" s="73">
        <f t="shared" si="19"/>
        <v>50.166666666666671</v>
      </c>
      <c r="AT66" s="76">
        <f t="shared" si="5"/>
        <v>52.755012360600773</v>
      </c>
    </row>
    <row r="67" spans="11:46" ht="13.25" thickBot="1" x14ac:dyDescent="0.3">
      <c r="K67" s="18"/>
      <c r="L67" s="27"/>
      <c r="M67" s="27"/>
      <c r="N67" s="43">
        <f t="shared" si="16"/>
        <v>62.434338550331013</v>
      </c>
      <c r="O67" s="43">
        <f t="shared" si="17"/>
        <v>49.358584637582751</v>
      </c>
      <c r="P67" s="51">
        <v>121</v>
      </c>
      <c r="R67" s="19"/>
      <c r="S67" s="32"/>
      <c r="T67" s="32"/>
      <c r="U67" s="47">
        <f t="shared" si="2"/>
        <v>46.537464287943052</v>
      </c>
      <c r="V67" s="46">
        <f t="shared" si="10"/>
        <v>60</v>
      </c>
      <c r="W67" s="64">
        <f t="shared" si="6"/>
        <v>120</v>
      </c>
      <c r="Y67" s="19"/>
      <c r="Z67" s="32"/>
      <c r="AA67" s="32"/>
      <c r="AB67" s="46">
        <f t="shared" si="11"/>
        <v>60</v>
      </c>
      <c r="AC67" s="83">
        <f t="shared" si="7"/>
        <v>120</v>
      </c>
      <c r="AD67" s="77">
        <f t="shared" si="18"/>
        <v>30</v>
      </c>
      <c r="AE67" s="78">
        <f t="shared" si="8"/>
        <v>28.845821429314352</v>
      </c>
      <c r="AG67" s="19"/>
      <c r="AH67" s="32"/>
      <c r="AI67" s="32"/>
      <c r="AJ67" s="47">
        <f t="shared" si="12"/>
        <v>27.229971430354443</v>
      </c>
      <c r="AK67" s="46">
        <f t="shared" si="13"/>
        <v>60</v>
      </c>
      <c r="AL67" s="64">
        <f t="shared" si="14"/>
        <v>120</v>
      </c>
      <c r="AN67" s="19"/>
      <c r="AO67" s="32"/>
      <c r="AP67" s="32"/>
      <c r="AQ67" s="46">
        <f t="shared" si="15"/>
        <v>60</v>
      </c>
      <c r="AR67" s="83">
        <f t="shared" si="9"/>
        <v>120</v>
      </c>
      <c r="AS67" s="77">
        <f t="shared" si="19"/>
        <v>50</v>
      </c>
      <c r="AT67" s="78">
        <f t="shared" si="5"/>
        <v>49.076657143451477</v>
      </c>
    </row>
    <row r="68" spans="11:46" x14ac:dyDescent="0.25">
      <c r="K68" s="18"/>
      <c r="L68" s="27"/>
      <c r="M68" s="27"/>
      <c r="N68" s="43">
        <f t="shared" si="16"/>
        <v>62.086672157395995</v>
      </c>
      <c r="O68" s="43">
        <f t="shared" si="17"/>
        <v>49.271668039348995</v>
      </c>
      <c r="P68" s="51">
        <v>123</v>
      </c>
    </row>
    <row r="69" spans="11:46" x14ac:dyDescent="0.25">
      <c r="K69" s="18"/>
      <c r="L69" s="27"/>
      <c r="M69" s="27"/>
      <c r="N69" s="43">
        <f t="shared" si="16"/>
        <v>61.718755086832672</v>
      </c>
      <c r="O69" s="43">
        <f t="shared" si="17"/>
        <v>49.179688771708172</v>
      </c>
      <c r="P69" s="51">
        <v>125</v>
      </c>
    </row>
    <row r="70" spans="11:46" x14ac:dyDescent="0.25">
      <c r="K70" s="18"/>
      <c r="L70" s="27"/>
      <c r="M70" s="27"/>
      <c r="N70" s="43">
        <f t="shared" si="16"/>
        <v>61.331023384345073</v>
      </c>
      <c r="O70" s="43">
        <f t="shared" si="17"/>
        <v>49.082755846086265</v>
      </c>
      <c r="P70" s="51">
        <v>127</v>
      </c>
    </row>
    <row r="71" spans="11:46" x14ac:dyDescent="0.25">
      <c r="K71" s="18"/>
      <c r="L71" s="27"/>
      <c r="M71" s="27"/>
      <c r="N71" s="43">
        <f t="shared" ref="N71:N102" si="20">M$7 * SIN(M$8*(P71 - M$9)) + M$10</f>
        <v>60.923936579421479</v>
      </c>
      <c r="O71" s="43">
        <f t="shared" ref="O71:O102" si="21">M$13 * SIN(M$14*(P71 - M$15)) + M$16</f>
        <v>48.98098414485537</v>
      </c>
      <c r="P71" s="51">
        <v>129</v>
      </c>
    </row>
    <row r="72" spans="11:46" x14ac:dyDescent="0.25">
      <c r="K72" s="18"/>
      <c r="L72" s="27"/>
      <c r="M72" s="27"/>
      <c r="N72" s="43">
        <f t="shared" si="20"/>
        <v>60.497977140712166</v>
      </c>
      <c r="O72" s="43">
        <f t="shared" si="21"/>
        <v>48.874494285178038</v>
      </c>
      <c r="P72" s="51">
        <v>131</v>
      </c>
    </row>
    <row r="73" spans="11:46" x14ac:dyDescent="0.25">
      <c r="K73" s="18"/>
      <c r="L73" s="27"/>
      <c r="M73" s="27"/>
      <c r="N73" s="43">
        <f t="shared" si="20"/>
        <v>60.053649904220094</v>
      </c>
      <c r="O73" s="43">
        <f t="shared" si="21"/>
        <v>48.763412476055024</v>
      </c>
      <c r="P73" s="51">
        <v>133</v>
      </c>
    </row>
    <row r="74" spans="11:46" x14ac:dyDescent="0.25">
      <c r="K74" s="18"/>
      <c r="L74" s="27"/>
      <c r="M74" s="27"/>
      <c r="N74" s="43">
        <f t="shared" si="20"/>
        <v>59.591481474982501</v>
      </c>
      <c r="O74" s="43">
        <f t="shared" si="21"/>
        <v>48.647870368745622</v>
      </c>
      <c r="P74" s="51">
        <v>135</v>
      </c>
    </row>
    <row r="75" spans="11:46" x14ac:dyDescent="0.25">
      <c r="K75" s="18"/>
      <c r="L75" s="27"/>
      <c r="M75" s="27"/>
      <c r="N75" s="43">
        <f t="shared" si="20"/>
        <v>59.112019602952351</v>
      </c>
      <c r="O75" s="43">
        <f t="shared" si="21"/>
        <v>48.52800490073809</v>
      </c>
      <c r="P75" s="51">
        <v>137</v>
      </c>
    </row>
    <row r="76" spans="11:46" x14ac:dyDescent="0.25">
      <c r="K76" s="18"/>
      <c r="L76" s="27"/>
      <c r="M76" s="27"/>
      <c r="N76" s="43">
        <f t="shared" si="20"/>
        <v>58.615832533819393</v>
      </c>
      <c r="O76" s="43">
        <f t="shared" si="21"/>
        <v>48.40395813345485</v>
      </c>
      <c r="P76" s="51">
        <v>139</v>
      </c>
    </row>
    <row r="77" spans="11:46" x14ac:dyDescent="0.25">
      <c r="K77" s="18"/>
      <c r="L77" s="27"/>
      <c r="M77" s="27"/>
      <c r="N77" s="43">
        <f t="shared" si="20"/>
        <v>58.103508335540205</v>
      </c>
      <c r="O77" s="43">
        <f t="shared" si="21"/>
        <v>48.27587708388505</v>
      </c>
      <c r="P77" s="51">
        <v>141</v>
      </c>
    </row>
    <row r="78" spans="11:46" x14ac:dyDescent="0.25">
      <c r="K78" s="18"/>
      <c r="L78" s="27"/>
      <c r="M78" s="27"/>
      <c r="N78" s="43">
        <f t="shared" si="20"/>
        <v>57.575654201375407</v>
      </c>
      <c r="O78" s="43">
        <f t="shared" si="21"/>
        <v>48.143913550343854</v>
      </c>
      <c r="P78" s="51">
        <v>143</v>
      </c>
    </row>
    <row r="79" spans="11:46" x14ac:dyDescent="0.25">
      <c r="K79" s="18"/>
      <c r="L79" s="27"/>
      <c r="M79" s="27"/>
      <c r="N79" s="43">
        <f t="shared" si="20"/>
        <v>57.032895730260094</v>
      </c>
      <c r="O79" s="43">
        <f t="shared" si="21"/>
        <v>48.008223932565024</v>
      </c>
      <c r="P79" s="51">
        <v>145</v>
      </c>
    </row>
    <row r="80" spans="11:46" x14ac:dyDescent="0.25">
      <c r="K80" s="18"/>
      <c r="L80" s="27"/>
      <c r="M80" s="27"/>
      <c r="N80" s="43">
        <f t="shared" si="20"/>
        <v>56.475876185360264</v>
      </c>
      <c r="O80" s="43">
        <f t="shared" si="21"/>
        <v>47.868969046340069</v>
      </c>
      <c r="P80" s="51">
        <v>147</v>
      </c>
    </row>
    <row r="81" spans="11:16" x14ac:dyDescent="0.25">
      <c r="K81" s="18"/>
      <c r="L81" s="27"/>
      <c r="M81" s="27"/>
      <c r="N81" s="43">
        <f t="shared" si="20"/>
        <v>55.905255731694162</v>
      </c>
      <c r="O81" s="43">
        <f t="shared" si="21"/>
        <v>47.726313932923539</v>
      </c>
      <c r="P81" s="51">
        <v>149</v>
      </c>
    </row>
    <row r="82" spans="11:16" x14ac:dyDescent="0.25">
      <c r="K82" s="18"/>
      <c r="L82" s="27"/>
      <c r="M82" s="27"/>
      <c r="N82" s="43">
        <f t="shared" si="20"/>
        <v>55.321710653721915</v>
      </c>
      <c r="O82" s="43">
        <f t="shared" si="21"/>
        <v>47.580427663430477</v>
      </c>
      <c r="P82" s="51">
        <v>151</v>
      </c>
    </row>
    <row r="83" spans="11:16" x14ac:dyDescent="0.25">
      <c r="K83" s="18"/>
      <c r="L83" s="27"/>
      <c r="M83" s="27"/>
      <c r="N83" s="43">
        <f t="shared" si="20"/>
        <v>54.725932553830845</v>
      </c>
      <c r="O83" s="43">
        <f t="shared" si="21"/>
        <v>47.431483138457715</v>
      </c>
      <c r="P83" s="51">
        <v>153</v>
      </c>
    </row>
    <row r="84" spans="11:16" x14ac:dyDescent="0.25">
      <c r="K84" s="18"/>
      <c r="L84" s="27"/>
      <c r="M84" s="27"/>
      <c r="N84" s="43">
        <f t="shared" si="20"/>
        <v>54.118627532666409</v>
      </c>
      <c r="O84" s="43">
        <f t="shared" si="21"/>
        <v>47.279656883166602</v>
      </c>
      <c r="P84" s="51">
        <v>155</v>
      </c>
    </row>
    <row r="85" spans="11:16" x14ac:dyDescent="0.25">
      <c r="K85" s="18"/>
      <c r="L85" s="27"/>
      <c r="M85" s="27"/>
      <c r="N85" s="43">
        <f t="shared" si="20"/>
        <v>53.500515352280125</v>
      </c>
      <c r="O85" s="43">
        <f t="shared" si="21"/>
        <v>47.125128838070033</v>
      </c>
      <c r="P85" s="51">
        <v>157</v>
      </c>
    </row>
    <row r="86" spans="11:16" x14ac:dyDescent="0.25">
      <c r="K86" s="18"/>
      <c r="L86" s="27"/>
      <c r="M86" s="27"/>
      <c r="N86" s="43">
        <f t="shared" si="20"/>
        <v>52.872328583086393</v>
      </c>
      <c r="O86" s="43">
        <f t="shared" si="21"/>
        <v>46.968082145771596</v>
      </c>
      <c r="P86" s="51">
        <v>159</v>
      </c>
    </row>
    <row r="87" spans="11:16" x14ac:dyDescent="0.25">
      <c r="K87" s="18"/>
      <c r="L87" s="27"/>
      <c r="M87" s="27"/>
      <c r="N87" s="43">
        <f t="shared" si="20"/>
        <v>52.234811735639184</v>
      </c>
      <c r="O87" s="43">
        <f t="shared" si="21"/>
        <v>46.8087029339098</v>
      </c>
      <c r="P87" s="51">
        <v>161</v>
      </c>
    </row>
    <row r="88" spans="11:16" x14ac:dyDescent="0.25">
      <c r="K88" s="18"/>
      <c r="L88" s="27"/>
      <c r="M88" s="27"/>
      <c r="N88" s="43">
        <f t="shared" si="20"/>
        <v>51.588720378257548</v>
      </c>
      <c r="O88" s="43">
        <f t="shared" si="21"/>
        <v>46.647180094564391</v>
      </c>
      <c r="P88" s="51">
        <v>163</v>
      </c>
    </row>
    <row r="89" spans="11:16" x14ac:dyDescent="0.25">
      <c r="K89" s="18"/>
      <c r="L89" s="27"/>
      <c r="M89" s="27"/>
      <c r="N89" s="43">
        <f t="shared" si="20"/>
        <v>50.9348202415458</v>
      </c>
      <c r="O89" s="43">
        <f t="shared" si="21"/>
        <v>46.483705060386448</v>
      </c>
      <c r="P89" s="51">
        <v>165</v>
      </c>
    </row>
    <row r="90" spans="11:16" x14ac:dyDescent="0.25">
      <c r="K90" s="18"/>
      <c r="L90" s="27"/>
      <c r="M90" s="27"/>
      <c r="N90" s="43">
        <f t="shared" si="20"/>
        <v>50.273886310869592</v>
      </c>
      <c r="O90" s="43">
        <f t="shared" si="21"/>
        <v>46.318471577717396</v>
      </c>
      <c r="P90" s="51">
        <v>167</v>
      </c>
    </row>
    <row r="91" spans="11:16" x14ac:dyDescent="0.25">
      <c r="K91" s="18"/>
      <c r="L91" s="27"/>
      <c r="M91" s="27"/>
      <c r="N91" s="43">
        <f t="shared" si="20"/>
        <v>49.606701907863496</v>
      </c>
      <c r="O91" s="43">
        <f t="shared" si="21"/>
        <v>46.15167547696587</v>
      </c>
      <c r="P91" s="51">
        <v>169</v>
      </c>
    </row>
    <row r="92" spans="11:16" x14ac:dyDescent="0.25">
      <c r="K92" s="18"/>
      <c r="L92" s="27"/>
      <c r="M92" s="27"/>
      <c r="N92" s="43">
        <f t="shared" si="20"/>
        <v>48.93405776205865</v>
      </c>
      <c r="O92" s="43">
        <f t="shared" si="21"/>
        <v>45.983514440514661</v>
      </c>
      <c r="P92" s="51">
        <v>171</v>
      </c>
    </row>
    <row r="93" spans="11:16" x14ac:dyDescent="0.25">
      <c r="K93" s="18"/>
      <c r="L93" s="27"/>
      <c r="M93" s="27"/>
      <c r="N93" s="43">
        <f t="shared" si="20"/>
        <v>48.256751073730804</v>
      </c>
      <c r="O93" s="43">
        <f t="shared" si="21"/>
        <v>45.814187768432703</v>
      </c>
      <c r="P93" s="51">
        <v>173</v>
      </c>
    </row>
    <row r="94" spans="11:16" x14ac:dyDescent="0.25">
      <c r="K94" s="18"/>
      <c r="L94" s="27"/>
      <c r="M94" s="27"/>
      <c r="N94" s="43">
        <f t="shared" si="20"/>
        <v>47.575584569079318</v>
      </c>
      <c r="O94" s="43">
        <f t="shared" si="21"/>
        <v>45.643896142269831</v>
      </c>
      <c r="P94" s="51">
        <v>175</v>
      </c>
    </row>
    <row r="95" spans="11:16" x14ac:dyDescent="0.25">
      <c r="K95" s="18"/>
      <c r="L95" s="27"/>
      <c r="M95" s="27"/>
      <c r="N95" s="43">
        <f t="shared" si="20"/>
        <v>46.891365548857088</v>
      </c>
      <c r="O95" s="43">
        <f t="shared" si="21"/>
        <v>45.472841387214274</v>
      </c>
      <c r="P95" s="51">
        <v>177</v>
      </c>
    </row>
    <row r="96" spans="11:16" x14ac:dyDescent="0.25">
      <c r="K96" s="18"/>
      <c r="L96" s="27"/>
      <c r="M96" s="27"/>
      <c r="N96" s="43">
        <f t="shared" si="20"/>
        <v>46.204904931578717</v>
      </c>
      <c r="O96" s="43">
        <f t="shared" si="21"/>
        <v>45.301226232894678</v>
      </c>
      <c r="P96" s="51">
        <v>179</v>
      </c>
    </row>
    <row r="97" spans="11:16" x14ac:dyDescent="0.25">
      <c r="K97" s="18"/>
      <c r="L97" s="27"/>
      <c r="M97" s="27"/>
      <c r="N97" s="43">
        <f t="shared" si="20"/>
        <v>45.51701629244112</v>
      </c>
      <c r="O97" s="43">
        <f t="shared" si="21"/>
        <v>45.129254073110282</v>
      </c>
      <c r="P97" s="51">
        <v>181</v>
      </c>
    </row>
    <row r="98" spans="11:16" x14ac:dyDescent="0.25">
      <c r="K98" s="18"/>
      <c r="L98" s="27"/>
      <c r="M98" s="27"/>
      <c r="N98" s="43">
        <f t="shared" si="20"/>
        <v>44.828514899095424</v>
      </c>
      <c r="O98" s="43">
        <f t="shared" si="21"/>
        <v>44.95712872477386</v>
      </c>
      <c r="P98" s="51">
        <v>183</v>
      </c>
    </row>
    <row r="99" spans="11:16" x14ac:dyDescent="0.25">
      <c r="K99" s="18"/>
      <c r="L99" s="27"/>
      <c r="M99" s="27"/>
      <c r="N99" s="43">
        <f t="shared" si="20"/>
        <v>44.140216745413049</v>
      </c>
      <c r="O99" s="43">
        <f t="shared" si="21"/>
        <v>44.785054186353264</v>
      </c>
      <c r="P99" s="51">
        <v>185</v>
      </c>
    </row>
    <row r="100" spans="11:16" x14ac:dyDescent="0.25">
      <c r="K100" s="18"/>
      <c r="L100" s="27"/>
      <c r="M100" s="27"/>
      <c r="N100" s="43">
        <f t="shared" si="20"/>
        <v>43.452937584391059</v>
      </c>
      <c r="O100" s="43">
        <f t="shared" si="21"/>
        <v>44.613234396097766</v>
      </c>
      <c r="P100" s="51">
        <v>187</v>
      </c>
    </row>
    <row r="101" spans="11:16" x14ac:dyDescent="0.25">
      <c r="K101" s="18"/>
      <c r="L101" s="27"/>
      <c r="M101" s="27"/>
      <c r="N101" s="43">
        <f t="shared" si="20"/>
        <v>42.76749196134304</v>
      </c>
      <c r="O101" s="43">
        <f t="shared" si="21"/>
        <v>44.44187299033576</v>
      </c>
      <c r="P101" s="51">
        <v>189</v>
      </c>
    </row>
    <row r="102" spans="11:16" x14ac:dyDescent="0.25">
      <c r="K102" s="18"/>
      <c r="L102" s="27"/>
      <c r="M102" s="27"/>
      <c r="N102" s="43">
        <f t="shared" si="20"/>
        <v>42.08469224852125</v>
      </c>
      <c r="O102" s="43">
        <f t="shared" si="21"/>
        <v>44.271173062130309</v>
      </c>
      <c r="P102" s="51">
        <v>191</v>
      </c>
    </row>
    <row r="103" spans="11:16" x14ac:dyDescent="0.25">
      <c r="K103" s="18"/>
      <c r="L103" s="27"/>
      <c r="M103" s="27"/>
      <c r="N103" s="43">
        <f t="shared" ref="N103:N134" si="22">M$7 * SIN(M$8*(P103 - M$9)) + M$10</f>
        <v>41.405347682314243</v>
      </c>
      <c r="O103" s="43">
        <f t="shared" ref="O103:O134" si="23">M$13 * SIN(M$14*(P103 - M$15)) + M$16</f>
        <v>44.101336920578561</v>
      </c>
      <c r="P103" s="51">
        <v>193</v>
      </c>
    </row>
    <row r="104" spans="11:16" x14ac:dyDescent="0.25">
      <c r="K104" s="18"/>
      <c r="L104" s="27"/>
      <c r="M104" s="27"/>
      <c r="N104" s="43">
        <f t="shared" si="22"/>
        <v>40.730263404161022</v>
      </c>
      <c r="O104" s="43">
        <f t="shared" si="23"/>
        <v>43.932565851040259</v>
      </c>
      <c r="P104" s="51">
        <v>195</v>
      </c>
    </row>
    <row r="105" spans="11:16" x14ac:dyDescent="0.25">
      <c r="K105" s="18"/>
      <c r="L105" s="27"/>
      <c r="M105" s="27"/>
      <c r="N105" s="43">
        <f t="shared" si="22"/>
        <v>40.060239506318467</v>
      </c>
      <c r="O105" s="43">
        <f t="shared" si="23"/>
        <v>43.76505987657962</v>
      </c>
      <c r="P105" s="51">
        <v>197</v>
      </c>
    </row>
    <row r="106" spans="11:16" x14ac:dyDescent="0.25">
      <c r="K106" s="18"/>
      <c r="L106" s="27"/>
      <c r="M106" s="27"/>
      <c r="N106" s="43">
        <f t="shared" si="22"/>
        <v>39.396070083612855</v>
      </c>
      <c r="O106" s="43">
        <f t="shared" si="23"/>
        <v>43.59901752090321</v>
      </c>
      <c r="P106" s="51">
        <v>199</v>
      </c>
    </row>
    <row r="107" spans="11:16" x14ac:dyDescent="0.25">
      <c r="K107" s="18"/>
      <c r="L107" s="27"/>
      <c r="M107" s="27"/>
      <c r="N107" s="43">
        <f t="shared" si="22"/>
        <v>38.738542292299414</v>
      </c>
      <c r="O107" s="43">
        <f t="shared" si="23"/>
        <v>43.43463557307485</v>
      </c>
      <c r="P107" s="51">
        <v>201</v>
      </c>
    </row>
    <row r="108" spans="11:16" x14ac:dyDescent="0.25">
      <c r="K108" s="18"/>
      <c r="L108" s="27"/>
      <c r="M108" s="27"/>
      <c r="N108" s="43">
        <f t="shared" si="22"/>
        <v>38.088435417145291</v>
      </c>
      <c r="O108" s="43">
        <f t="shared" si="23"/>
        <v>43.272108854286323</v>
      </c>
      <c r="P108" s="51">
        <v>203</v>
      </c>
    </row>
    <row r="109" spans="11:16" x14ac:dyDescent="0.25">
      <c r="K109" s="18"/>
      <c r="L109" s="27"/>
      <c r="M109" s="27"/>
      <c r="N109" s="43">
        <f t="shared" si="22"/>
        <v>37.446519947841601</v>
      </c>
      <c r="O109" s="43">
        <f t="shared" si="23"/>
        <v>43.111629986960402</v>
      </c>
      <c r="P109" s="51">
        <v>205</v>
      </c>
    </row>
    <row r="110" spans="11:16" x14ac:dyDescent="0.25">
      <c r="K110" s="18"/>
      <c r="L110" s="27"/>
      <c r="M110" s="27"/>
      <c r="N110" s="43">
        <f t="shared" si="22"/>
        <v>36.813556665839158</v>
      </c>
      <c r="O110" s="43">
        <f t="shared" si="23"/>
        <v>42.953389166459793</v>
      </c>
      <c r="P110" s="51">
        <v>207</v>
      </c>
    </row>
    <row r="111" spans="11:16" x14ac:dyDescent="0.25">
      <c r="K111" s="18"/>
      <c r="L111" s="27"/>
      <c r="M111" s="27"/>
      <c r="N111" s="43">
        <f t="shared" si="22"/>
        <v>36.190295742690182</v>
      </c>
      <c r="O111" s="43">
        <f t="shared" si="23"/>
        <v>42.797573935672546</v>
      </c>
      <c r="P111" s="51">
        <v>209</v>
      </c>
    </row>
    <row r="112" spans="11:16" x14ac:dyDescent="0.25">
      <c r="K112" s="18"/>
      <c r="L112" s="27"/>
      <c r="M112" s="27"/>
      <c r="N112" s="43">
        <f t="shared" si="22"/>
        <v>35.577475850964525</v>
      </c>
      <c r="O112" s="43">
        <f t="shared" si="23"/>
        <v>42.644368962741133</v>
      </c>
      <c r="P112" s="51">
        <v>211</v>
      </c>
    </row>
    <row r="113" spans="11:16" x14ac:dyDescent="0.25">
      <c r="K113" s="18"/>
      <c r="L113" s="27"/>
      <c r="M113" s="27"/>
      <c r="N113" s="43">
        <f t="shared" si="22"/>
        <v>34.975823288794274</v>
      </c>
      <c r="O113" s="43">
        <f t="shared" si="23"/>
        <v>42.493955822198572</v>
      </c>
      <c r="P113" s="51">
        <v>213</v>
      </c>
    </row>
    <row r="114" spans="11:16" x14ac:dyDescent="0.25">
      <c r="K114" s="18"/>
      <c r="L114" s="27"/>
      <c r="M114" s="27"/>
      <c r="N114" s="43">
        <f t="shared" si="22"/>
        <v>34.386051119084172</v>
      </c>
      <c r="O114" s="43">
        <f t="shared" si="23"/>
        <v>42.346512779771047</v>
      </c>
      <c r="P114" s="51">
        <v>215</v>
      </c>
    </row>
    <row r="115" spans="11:16" x14ac:dyDescent="0.25">
      <c r="K115" s="18"/>
      <c r="L115" s="27"/>
      <c r="M115" s="27"/>
      <c r="N115" s="43">
        <f t="shared" si="22"/>
        <v>33.80885832440805</v>
      </c>
      <c r="O115" s="43">
        <f t="shared" si="23"/>
        <v>42.202214581102012</v>
      </c>
      <c r="P115" s="51">
        <v>217</v>
      </c>
    </row>
    <row r="116" spans="11:16" x14ac:dyDescent="0.25">
      <c r="K116" s="18"/>
      <c r="L116" s="27"/>
      <c r="M116" s="27"/>
      <c r="N116" s="43">
        <f t="shared" si="22"/>
        <v>33.244928978592974</v>
      </c>
      <c r="O116" s="43">
        <f t="shared" si="23"/>
        <v>42.061232244648245</v>
      </c>
      <c r="P116" s="51">
        <v>219</v>
      </c>
    </row>
    <row r="117" spans="11:16" x14ac:dyDescent="0.25">
      <c r="K117" s="18"/>
      <c r="L117" s="27"/>
      <c r="M117" s="27"/>
      <c r="N117" s="43">
        <f t="shared" si="22"/>
        <v>32.694931435972769</v>
      </c>
      <c r="O117" s="43">
        <f t="shared" si="23"/>
        <v>41.923732858993191</v>
      </c>
      <c r="P117" s="51">
        <v>221</v>
      </c>
    </row>
    <row r="118" spans="11:16" x14ac:dyDescent="0.25">
      <c r="K118" s="18"/>
      <c r="L118" s="27"/>
      <c r="M118" s="27"/>
      <c r="N118" s="43">
        <f t="shared" si="22"/>
        <v>32.15951753927196</v>
      </c>
      <c r="O118" s="43">
        <f t="shared" si="23"/>
        <v>41.789879384817993</v>
      </c>
      <c r="P118" s="51">
        <v>223</v>
      </c>
    </row>
    <row r="119" spans="11:16" x14ac:dyDescent="0.25">
      <c r="K119" s="18"/>
      <c r="L119" s="27"/>
      <c r="M119" s="27"/>
      <c r="N119" s="43">
        <f t="shared" si="22"/>
        <v>31.639321847058763</v>
      </c>
      <c r="O119" s="43">
        <f t="shared" si="23"/>
        <v>41.659830461764692</v>
      </c>
      <c r="P119" s="51">
        <v>225</v>
      </c>
    </row>
    <row r="120" spans="11:16" x14ac:dyDescent="0.25">
      <c r="K120" s="18"/>
      <c r="L120" s="27"/>
      <c r="M120" s="27"/>
      <c r="N120" s="43">
        <f t="shared" si="22"/>
        <v>31.134960881682847</v>
      </c>
      <c r="O120" s="43">
        <f t="shared" si="23"/>
        <v>41.533740220420711</v>
      </c>
      <c r="P120" s="51">
        <v>227</v>
      </c>
    </row>
    <row r="121" spans="11:16" x14ac:dyDescent="0.25">
      <c r="K121" s="18"/>
      <c r="L121" s="27"/>
      <c r="M121" s="27"/>
      <c r="N121" s="43">
        <f t="shared" si="22"/>
        <v>30.647032398589161</v>
      </c>
      <c r="O121" s="43">
        <f t="shared" si="23"/>
        <v>41.411758099647294</v>
      </c>
      <c r="P121" s="51">
        <v>229</v>
      </c>
    </row>
    <row r="122" spans="11:16" x14ac:dyDescent="0.25">
      <c r="K122" s="18"/>
      <c r="L122" s="27"/>
      <c r="M122" s="27"/>
      <c r="N122" s="43">
        <f t="shared" si="22"/>
        <v>30.176114677873791</v>
      </c>
      <c r="O122" s="43">
        <f t="shared" si="23"/>
        <v>41.294028669468446</v>
      </c>
      <c r="P122" s="51">
        <v>231</v>
      </c>
    </row>
    <row r="123" spans="11:16" x14ac:dyDescent="0.25">
      <c r="K123" s="18"/>
      <c r="L123" s="27"/>
      <c r="M123" s="27"/>
      <c r="N123" s="43">
        <f t="shared" si="22"/>
        <v>29.722765838921461</v>
      </c>
      <c r="O123" s="43">
        <f t="shared" si="23"/>
        <v>41.180691459730369</v>
      </c>
      <c r="P123" s="51">
        <v>233</v>
      </c>
    </row>
    <row r="124" spans="11:16" x14ac:dyDescent="0.25">
      <c r="K124" s="18"/>
      <c r="L124" s="27"/>
      <c r="M124" s="27"/>
      <c r="N124" s="43">
        <f t="shared" si="22"/>
        <v>29.287523178937047</v>
      </c>
      <c r="O124" s="43">
        <f t="shared" si="23"/>
        <v>41.071880794734263</v>
      </c>
      <c r="P124" s="51">
        <v>235</v>
      </c>
    </row>
    <row r="125" spans="11:16" x14ac:dyDescent="0.25">
      <c r="K125" s="18"/>
      <c r="L125" s="27"/>
      <c r="M125" s="27"/>
      <c r="N125" s="43">
        <f t="shared" si="22"/>
        <v>28.870902536154958</v>
      </c>
      <c r="O125" s="43">
        <f t="shared" si="23"/>
        <v>40.967725634038743</v>
      </c>
      <c r="P125" s="51">
        <v>237</v>
      </c>
    </row>
    <row r="126" spans="11:16" x14ac:dyDescent="0.25">
      <c r="K126" s="18"/>
      <c r="L126" s="27"/>
      <c r="M126" s="27"/>
      <c r="N126" s="43">
        <f t="shared" si="22"/>
        <v>28.473397678481099</v>
      </c>
      <c r="O126" s="43">
        <f t="shared" si="23"/>
        <v>40.868349419620273</v>
      </c>
      <c r="P126" s="51">
        <v>239</v>
      </c>
    </row>
    <row r="127" spans="11:16" x14ac:dyDescent="0.25">
      <c r="K127" s="18"/>
      <c r="L127" s="27"/>
      <c r="M127" s="27"/>
      <c r="N127" s="43">
        <f t="shared" si="22"/>
        <v>28.095479718292093</v>
      </c>
      <c r="O127" s="43">
        <f t="shared" si="23"/>
        <v>40.773869929573024</v>
      </c>
      <c r="P127" s="51">
        <v>241</v>
      </c>
    </row>
    <row r="128" spans="11:16" x14ac:dyDescent="0.25">
      <c r="K128" s="18"/>
      <c r="L128" s="27"/>
      <c r="M128" s="27"/>
      <c r="N128" s="43">
        <f t="shared" si="22"/>
        <v>27.737596554085144</v>
      </c>
      <c r="O128" s="43">
        <f t="shared" si="23"/>
        <v>40.684399138521286</v>
      </c>
      <c r="P128" s="51">
        <v>243</v>
      </c>
    </row>
    <row r="129" spans="11:16" x14ac:dyDescent="0.25">
      <c r="K129" s="18"/>
      <c r="L129" s="27"/>
      <c r="M129" s="27"/>
      <c r="N129" s="43">
        <f t="shared" si="22"/>
        <v>27.400172339640491</v>
      </c>
      <c r="O129" s="43">
        <f t="shared" si="23"/>
        <v>40.600043084910126</v>
      </c>
      <c r="P129" s="51">
        <v>245</v>
      </c>
    </row>
    <row r="130" spans="11:16" x14ac:dyDescent="0.25">
      <c r="K130" s="18"/>
      <c r="L130" s="27"/>
      <c r="M130" s="27"/>
      <c r="N130" s="43">
        <f t="shared" si="22"/>
        <v>27.083606981325349</v>
      </c>
      <c r="O130" s="43">
        <f t="shared" si="23"/>
        <v>40.520901745331336</v>
      </c>
      <c r="P130" s="51">
        <v>247</v>
      </c>
    </row>
    <row r="131" spans="11:16" x14ac:dyDescent="0.25">
      <c r="K131" s="18"/>
      <c r="L131" s="27"/>
      <c r="M131" s="27"/>
      <c r="N131" s="43">
        <f t="shared" si="22"/>
        <v>26.788275664135423</v>
      </c>
      <c r="O131" s="43">
        <f t="shared" si="23"/>
        <v>40.447068916033857</v>
      </c>
      <c r="P131" s="51">
        <v>249</v>
      </c>
    </row>
    <row r="132" spans="11:16" x14ac:dyDescent="0.25">
      <c r="K132" s="18"/>
      <c r="L132" s="27"/>
      <c r="M132" s="27"/>
      <c r="N132" s="43">
        <f t="shared" si="22"/>
        <v>26.51452840703535</v>
      </c>
      <c r="O132" s="43">
        <f t="shared" si="23"/>
        <v>40.378632101758839</v>
      </c>
      <c r="P132" s="51">
        <v>251</v>
      </c>
    </row>
    <row r="133" spans="11:16" x14ac:dyDescent="0.25">
      <c r="K133" s="18"/>
      <c r="L133" s="27"/>
      <c r="M133" s="27"/>
      <c r="N133" s="43">
        <f t="shared" si="22"/>
        <v>26.262689648125434</v>
      </c>
      <c r="O133" s="43">
        <f t="shared" si="23"/>
        <v>40.315672412031361</v>
      </c>
      <c r="P133" s="51">
        <v>253</v>
      </c>
    </row>
    <row r="134" spans="11:16" x14ac:dyDescent="0.25">
      <c r="K134" s="18"/>
      <c r="L134" s="27"/>
      <c r="M134" s="27"/>
      <c r="N134" s="43">
        <f t="shared" si="22"/>
        <v>26.033057860126057</v>
      </c>
      <c r="O134" s="43">
        <f t="shared" si="23"/>
        <v>40.258264465031516</v>
      </c>
      <c r="P134" s="51">
        <v>255</v>
      </c>
    </row>
    <row r="135" spans="11:16" x14ac:dyDescent="0.25">
      <c r="K135" s="18"/>
      <c r="L135" s="27"/>
      <c r="M135" s="27"/>
      <c r="N135" s="43">
        <f t="shared" ref="N135:N166" si="24">M$7 * SIN(M$8*(P135 - M$9)) + M$10</f>
        <v>25.825905196635588</v>
      </c>
      <c r="O135" s="43">
        <f t="shared" ref="O135:O166" si="25">M$13 * SIN(M$14*(P135 - M$15)) + M$16</f>
        <v>40.206476299158894</v>
      </c>
      <c r="P135" s="51">
        <v>257</v>
      </c>
    </row>
    <row r="136" spans="11:16" x14ac:dyDescent="0.25">
      <c r="K136" s="18"/>
      <c r="L136" s="27"/>
      <c r="M136" s="27"/>
      <c r="N136" s="43">
        <f t="shared" si="24"/>
        <v>25.641477169581087</v>
      </c>
      <c r="O136" s="43">
        <f t="shared" si="25"/>
        <v>40.160369292395274</v>
      </c>
      <c r="P136" s="51">
        <v>259</v>
      </c>
    </row>
    <row r="137" spans="11:16" x14ac:dyDescent="0.25">
      <c r="K137" s="18"/>
      <c r="L137" s="27"/>
      <c r="M137" s="27"/>
      <c r="N137" s="43">
        <f t="shared" si="24"/>
        <v>25.479992358243933</v>
      </c>
      <c r="O137" s="43">
        <f t="shared" si="25"/>
        <v>40.11999808956098</v>
      </c>
      <c r="P137" s="51">
        <v>261</v>
      </c>
    </row>
    <row r="138" spans="11:16" x14ac:dyDescent="0.25">
      <c r="K138" s="18"/>
      <c r="L138" s="27"/>
      <c r="M138" s="27"/>
      <c r="N138" s="43">
        <f t="shared" si="24"/>
        <v>25.341642150205409</v>
      </c>
      <c r="O138" s="43">
        <f t="shared" si="25"/>
        <v>40.085410537551354</v>
      </c>
      <c r="P138" s="51">
        <v>263</v>
      </c>
    </row>
    <row r="139" spans="11:16" x14ac:dyDescent="0.25">
      <c r="K139" s="18"/>
      <c r="L139" s="27"/>
      <c r="M139" s="27"/>
      <c r="N139" s="43">
        <f t="shared" si="24"/>
        <v>25.22659051451911</v>
      </c>
      <c r="O139" s="43">
        <f t="shared" si="25"/>
        <v>40.056647628629776</v>
      </c>
      <c r="P139" s="51">
        <v>265</v>
      </c>
    </row>
    <row r="140" spans="11:16" x14ac:dyDescent="0.25">
      <c r="K140" s="18"/>
      <c r="L140" s="27"/>
      <c r="M140" s="27"/>
      <c r="N140" s="43">
        <f t="shared" si="24"/>
        <v>25.134973807379119</v>
      </c>
      <c r="O140" s="43">
        <f t="shared" si="25"/>
        <v>40.033743451844778</v>
      </c>
      <c r="P140" s="51">
        <v>267</v>
      </c>
    </row>
    <row r="141" spans="11:16" x14ac:dyDescent="0.25">
      <c r="K141" s="18"/>
      <c r="L141" s="27"/>
      <c r="M141" s="27"/>
      <c r="N141" s="43">
        <f t="shared" si="24"/>
        <v>25.066900610514196</v>
      </c>
      <c r="O141" s="43">
        <f t="shared" si="25"/>
        <v>40.016725152628553</v>
      </c>
      <c r="P141" s="51">
        <v>269</v>
      </c>
    </row>
    <row r="142" spans="11:16" x14ac:dyDescent="0.25">
      <c r="K142" s="18"/>
      <c r="L142" s="27"/>
      <c r="M142" s="27"/>
      <c r="N142" s="43">
        <f t="shared" si="24"/>
        <v>25.022451602499554</v>
      </c>
      <c r="O142" s="43">
        <f t="shared" si="25"/>
        <v>40.00561290062489</v>
      </c>
      <c r="P142" s="51">
        <v>271</v>
      </c>
    </row>
    <row r="143" spans="11:16" x14ac:dyDescent="0.25">
      <c r="K143" s="18"/>
      <c r="L143" s="27"/>
      <c r="M143" s="27"/>
      <c r="N143" s="43">
        <f t="shared" si="24"/>
        <v>25.001679463138732</v>
      </c>
      <c r="O143" s="43">
        <f t="shared" si="25"/>
        <v>40.000419865784686</v>
      </c>
      <c r="P143" s="51">
        <v>273</v>
      </c>
    </row>
    <row r="144" spans="11:16" x14ac:dyDescent="0.25">
      <c r="K144" s="18"/>
      <c r="L144" s="27"/>
      <c r="M144" s="27"/>
      <c r="N144" s="43">
        <f t="shared" si="24"/>
        <v>25.004608811028838</v>
      </c>
      <c r="O144" s="43">
        <f t="shared" si="25"/>
        <v>40.001152202757211</v>
      </c>
      <c r="P144" s="51">
        <v>275</v>
      </c>
    </row>
    <row r="145" spans="11:16" x14ac:dyDescent="0.25">
      <c r="K145" s="18"/>
      <c r="L145" s="27"/>
      <c r="M145" s="27"/>
      <c r="N145" s="43">
        <f t="shared" si="24"/>
        <v>25.031236174383245</v>
      </c>
      <c r="O145" s="43">
        <f t="shared" si="25"/>
        <v>40.007809043595813</v>
      </c>
      <c r="P145" s="51">
        <v>277</v>
      </c>
    </row>
    <row r="146" spans="11:16" x14ac:dyDescent="0.25">
      <c r="K146" s="18"/>
      <c r="L146" s="27"/>
      <c r="M146" s="27"/>
      <c r="N146" s="43">
        <f t="shared" si="24"/>
        <v>25.08152999514628</v>
      </c>
      <c r="O146" s="43">
        <f t="shared" si="25"/>
        <v>40.020382498786567</v>
      </c>
      <c r="P146" s="51">
        <v>279</v>
      </c>
    </row>
    <row r="147" spans="11:16" x14ac:dyDescent="0.25">
      <c r="K147" s="18"/>
      <c r="L147" s="27"/>
      <c r="M147" s="27"/>
      <c r="N147" s="43">
        <f t="shared" si="24"/>
        <v>25.15543066639497</v>
      </c>
      <c r="O147" s="43">
        <f t="shared" si="25"/>
        <v>40.038857666598744</v>
      </c>
      <c r="P147" s="51">
        <v>281</v>
      </c>
    </row>
    <row r="148" spans="11:16" x14ac:dyDescent="0.25">
      <c r="K148" s="18"/>
      <c r="L148" s="27"/>
      <c r="M148" s="27"/>
      <c r="N148" s="43">
        <f t="shared" si="24"/>
        <v>25.252850602983653</v>
      </c>
      <c r="O148" s="43">
        <f t="shared" si="25"/>
        <v>40.063212650745911</v>
      </c>
      <c r="P148" s="51">
        <v>283</v>
      </c>
    </row>
    <row r="149" spans="11:16" x14ac:dyDescent="0.25">
      <c r="K149" s="18"/>
      <c r="L149" s="27"/>
      <c r="M149" s="27"/>
      <c r="N149" s="43">
        <f t="shared" si="24"/>
        <v>25.373674345347567</v>
      </c>
      <c r="O149" s="43">
        <f t="shared" si="25"/>
        <v>40.093418586336895</v>
      </c>
      <c r="P149" s="51">
        <v>285</v>
      </c>
    </row>
    <row r="150" spans="11:16" x14ac:dyDescent="0.25">
      <c r="K150" s="18"/>
      <c r="L150" s="27"/>
      <c r="M150" s="27"/>
      <c r="N150" s="43">
        <f t="shared" si="24"/>
        <v>25.517758696342533</v>
      </c>
      <c r="O150" s="43">
        <f t="shared" si="25"/>
        <v>40.129439674085631</v>
      </c>
      <c r="P150" s="51">
        <v>287</v>
      </c>
    </row>
    <row r="151" spans="11:16" x14ac:dyDescent="0.25">
      <c r="K151" s="18"/>
      <c r="L151" s="27"/>
      <c r="M151" s="27"/>
      <c r="N151" s="43">
        <f t="shared" si="24"/>
        <v>25.684932890958468</v>
      </c>
      <c r="O151" s="43">
        <f t="shared" si="25"/>
        <v>40.171233222739616</v>
      </c>
      <c r="P151" s="51">
        <v>289</v>
      </c>
    </row>
    <row r="152" spans="11:16" x14ac:dyDescent="0.25">
      <c r="K152" s="18"/>
      <c r="L152" s="27"/>
      <c r="M152" s="27"/>
      <c r="N152" s="43">
        <f t="shared" si="24"/>
        <v>25.874998798705604</v>
      </c>
      <c r="O152" s="43">
        <f t="shared" si="25"/>
        <v>40.218749699676401</v>
      </c>
      <c r="P152" s="51">
        <v>291</v>
      </c>
    </row>
    <row r="153" spans="11:16" x14ac:dyDescent="0.25">
      <c r="K153" s="18"/>
      <c r="L153" s="27"/>
      <c r="M153" s="27"/>
      <c r="N153" s="43">
        <f t="shared" si="24"/>
        <v>26.087731158433598</v>
      </c>
      <c r="O153" s="43">
        <f t="shared" si="25"/>
        <v>40.2719327896084</v>
      </c>
      <c r="P153" s="51">
        <v>293</v>
      </c>
    </row>
    <row r="154" spans="11:16" x14ac:dyDescent="0.25">
      <c r="K154" s="18"/>
      <c r="L154" s="27"/>
      <c r="M154" s="27"/>
      <c r="N154" s="43">
        <f t="shared" si="24"/>
        <v>26.322877845305126</v>
      </c>
      <c r="O154" s="43">
        <f t="shared" si="25"/>
        <v>40.330719461326282</v>
      </c>
      <c r="P154" s="51">
        <v>295</v>
      </c>
    </row>
    <row r="155" spans="11:16" x14ac:dyDescent="0.25">
      <c r="K155" s="18"/>
      <c r="L155" s="27"/>
      <c r="M155" s="27"/>
      <c r="N155" s="43">
        <f t="shared" si="24"/>
        <v>26.58016016960768</v>
      </c>
      <c r="O155" s="43">
        <f t="shared" si="25"/>
        <v>40.395040042401916</v>
      </c>
      <c r="P155" s="51">
        <v>297</v>
      </c>
    </row>
    <row r="156" spans="11:16" x14ac:dyDescent="0.25">
      <c r="K156" s="18"/>
      <c r="L156" s="27"/>
      <c r="M156" s="27"/>
      <c r="N156" s="43">
        <f t="shared" si="24"/>
        <v>26.859273207049348</v>
      </c>
      <c r="O156" s="43">
        <f t="shared" si="25"/>
        <v>40.464818301762335</v>
      </c>
      <c r="P156" s="51">
        <v>299</v>
      </c>
    </row>
    <row r="157" spans="11:16" x14ac:dyDescent="0.25">
      <c r="K157" s="18"/>
      <c r="L157" s="27"/>
      <c r="M157" s="27"/>
      <c r="N157" s="43">
        <f t="shared" si="24"/>
        <v>27.159886160147085</v>
      </c>
      <c r="O157" s="43">
        <f t="shared" si="25"/>
        <v>40.539971540036774</v>
      </c>
      <c r="P157" s="51">
        <v>301</v>
      </c>
    </row>
    <row r="158" spans="11:16" x14ac:dyDescent="0.25">
      <c r="K158" s="18"/>
      <c r="L158" s="27"/>
      <c r="M158" s="27"/>
      <c r="N158" s="43">
        <f t="shared" si="24"/>
        <v>27.481642750279303</v>
      </c>
      <c r="O158" s="43">
        <f t="shared" si="25"/>
        <v>40.620410687569823</v>
      </c>
      <c r="P158" s="51">
        <v>303</v>
      </c>
    </row>
    <row r="159" spans="11:16" x14ac:dyDescent="0.25">
      <c r="K159" s="18"/>
      <c r="L159" s="27"/>
      <c r="M159" s="27"/>
      <c r="N159" s="43">
        <f t="shared" si="24"/>
        <v>27.824161639937916</v>
      </c>
      <c r="O159" s="43">
        <f t="shared" si="25"/>
        <v>40.706040409984482</v>
      </c>
      <c r="P159" s="51">
        <v>305</v>
      </c>
    </row>
    <row r="160" spans="11:16" x14ac:dyDescent="0.25">
      <c r="K160" s="18"/>
      <c r="L160" s="27"/>
      <c r="M160" s="27"/>
      <c r="N160" s="43">
        <f t="shared" si="24"/>
        <v>28.187036884679689</v>
      </c>
      <c r="O160" s="43">
        <f t="shared" si="25"/>
        <v>40.796759221169921</v>
      </c>
      <c r="P160" s="51">
        <v>307</v>
      </c>
    </row>
    <row r="161" spans="11:16" x14ac:dyDescent="0.25">
      <c r="K161" s="18"/>
      <c r="L161" s="27"/>
      <c r="M161" s="27"/>
      <c r="N161" s="43">
        <f t="shared" si="24"/>
        <v>28.569838414240898</v>
      </c>
      <c r="O161" s="43">
        <f t="shared" si="25"/>
        <v>40.892459603560226</v>
      </c>
      <c r="P161" s="51">
        <v>309</v>
      </c>
    </row>
    <row r="162" spans="11:16" x14ac:dyDescent="0.25">
      <c r="K162" s="18"/>
      <c r="L162" s="27"/>
      <c r="M162" s="27"/>
      <c r="N162" s="43">
        <f t="shared" si="24"/>
        <v>28.972112542245458</v>
      </c>
      <c r="O162" s="43">
        <f t="shared" si="25"/>
        <v>40.993028135561367</v>
      </c>
      <c r="P162" s="51">
        <v>311</v>
      </c>
    </row>
    <row r="163" spans="11:16" x14ac:dyDescent="0.25">
      <c r="K163" s="18"/>
      <c r="L163" s="27"/>
      <c r="M163" s="27"/>
      <c r="N163" s="43">
        <f t="shared" si="24"/>
        <v>29.393382503902092</v>
      </c>
      <c r="O163" s="43">
        <f t="shared" si="25"/>
        <v>41.098345625975526</v>
      </c>
      <c r="P163" s="51">
        <v>313</v>
      </c>
    </row>
    <row r="164" spans="11:16" x14ac:dyDescent="0.25">
      <c r="K164" s="18"/>
      <c r="L164" s="27"/>
      <c r="M164" s="27"/>
      <c r="N164" s="43">
        <f t="shared" si="24"/>
        <v>29.833149021053575</v>
      </c>
      <c r="O164" s="43">
        <f t="shared" si="25"/>
        <v>41.208287255263393</v>
      </c>
      <c r="P164" s="51">
        <v>315</v>
      </c>
    </row>
    <row r="165" spans="11:16" x14ac:dyDescent="0.25">
      <c r="K165" s="18"/>
      <c r="L165" s="27"/>
      <c r="M165" s="27"/>
      <c r="N165" s="43">
        <f t="shared" si="24"/>
        <v>30.290890893908148</v>
      </c>
      <c r="O165" s="43">
        <f t="shared" si="25"/>
        <v>41.322722723477035</v>
      </c>
      <c r="P165" s="51">
        <v>317</v>
      </c>
    </row>
    <row r="166" spans="11:16" x14ac:dyDescent="0.25">
      <c r="K166" s="18"/>
      <c r="L166" s="27"/>
      <c r="M166" s="27"/>
      <c r="N166" s="43">
        <f t="shared" si="24"/>
        <v>30.766065618751846</v>
      </c>
      <c r="O166" s="43">
        <f t="shared" si="25"/>
        <v>41.44151640468796</v>
      </c>
      <c r="P166" s="51">
        <v>319</v>
      </c>
    </row>
    <row r="167" spans="11:16" x14ac:dyDescent="0.25">
      <c r="K167" s="18"/>
      <c r="L167" s="27"/>
      <c r="M167" s="27"/>
      <c r="N167" s="43">
        <f t="shared" ref="N167:N189" si="26">M$7 * SIN(M$8*(P167 - M$9)) + M$10</f>
        <v>31.258110030909844</v>
      </c>
      <c r="O167" s="43">
        <f t="shared" ref="O167:O189" si="27">M$13 * SIN(M$14*(P167 - M$15)) + M$16</f>
        <v>41.564527507727462</v>
      </c>
      <c r="P167" s="51">
        <v>321</v>
      </c>
    </row>
    <row r="168" spans="11:16" x14ac:dyDescent="0.25">
      <c r="K168" s="18"/>
      <c r="L168" s="27"/>
      <c r="M168" s="27"/>
      <c r="N168" s="43">
        <f t="shared" si="26"/>
        <v>31.766440972194395</v>
      </c>
      <c r="O168" s="43">
        <f t="shared" si="27"/>
        <v>41.691610243048601</v>
      </c>
      <c r="P168" s="51">
        <v>323</v>
      </c>
    </row>
    <row r="169" spans="11:16" x14ac:dyDescent="0.25">
      <c r="K169" s="18"/>
      <c r="L169" s="27"/>
      <c r="M169" s="27"/>
      <c r="N169" s="43">
        <f t="shared" si="26"/>
        <v>32.290455982048812</v>
      </c>
      <c r="O169" s="43">
        <f t="shared" si="27"/>
        <v>41.822613995512199</v>
      </c>
      <c r="P169" s="51">
        <v>325</v>
      </c>
    </row>
    <row r="170" spans="11:16" x14ac:dyDescent="0.25">
      <c r="K170" s="18"/>
      <c r="L170" s="27"/>
      <c r="M170" s="27"/>
      <c r="N170" s="43">
        <f t="shared" si="26"/>
        <v>32.829534011567851</v>
      </c>
      <c r="O170" s="43">
        <f t="shared" si="27"/>
        <v>41.957383502891965</v>
      </c>
      <c r="P170" s="51">
        <v>327</v>
      </c>
    </row>
    <row r="171" spans="11:16" x14ac:dyDescent="0.25">
      <c r="K171" s="18"/>
      <c r="L171" s="27"/>
      <c r="M171" s="27"/>
      <c r="N171" s="43">
        <f t="shared" si="26"/>
        <v>33.383036159548794</v>
      </c>
      <c r="O171" s="43">
        <f t="shared" si="27"/>
        <v>42.095759039887199</v>
      </c>
      <c r="P171" s="51">
        <v>329</v>
      </c>
    </row>
    <row r="172" spans="11:16" x14ac:dyDescent="0.25">
      <c r="K172" s="18"/>
      <c r="L172" s="27"/>
      <c r="M172" s="27"/>
      <c r="N172" s="43">
        <f t="shared" si="26"/>
        <v>33.950306429700376</v>
      </c>
      <c r="O172" s="43">
        <f t="shared" si="27"/>
        <v>42.23757660742509</v>
      </c>
      <c r="P172" s="51">
        <v>331</v>
      </c>
    </row>
    <row r="173" spans="11:16" x14ac:dyDescent="0.25">
      <c r="K173" s="18"/>
      <c r="L173" s="27"/>
      <c r="M173" s="27"/>
      <c r="N173" s="43">
        <f t="shared" si="26"/>
        <v>34.53067250811246</v>
      </c>
      <c r="O173" s="43">
        <f t="shared" si="27"/>
        <v>42.382668127028111</v>
      </c>
      <c r="P173" s="51">
        <v>333</v>
      </c>
    </row>
    <row r="174" spans="11:16" x14ac:dyDescent="0.25">
      <c r="K174" s="18"/>
      <c r="L174" s="27"/>
      <c r="M174" s="27"/>
      <c r="N174" s="43">
        <f t="shared" si="26"/>
        <v>35.123446560065005</v>
      </c>
      <c r="O174" s="43">
        <f t="shared" si="27"/>
        <v>42.530861640016255</v>
      </c>
      <c r="P174" s="51">
        <v>335</v>
      </c>
    </row>
    <row r="175" spans="11:16" x14ac:dyDescent="0.25">
      <c r="K175" s="18"/>
      <c r="L175" s="27"/>
      <c r="M175" s="27"/>
      <c r="N175" s="43">
        <f t="shared" si="26"/>
        <v>35.727926045231705</v>
      </c>
      <c r="O175" s="43">
        <f t="shared" si="27"/>
        <v>42.681981511307924</v>
      </c>
      <c r="P175" s="51">
        <v>337</v>
      </c>
    </row>
    <row r="176" spans="11:16" x14ac:dyDescent="0.25">
      <c r="K176" s="18"/>
      <c r="L176" s="27"/>
      <c r="M176" s="27"/>
      <c r="N176" s="43">
        <f t="shared" si="26"/>
        <v>36.343394550312546</v>
      </c>
      <c r="O176" s="43">
        <f t="shared" si="27"/>
        <v>42.835848637578138</v>
      </c>
      <c r="P176" s="51">
        <v>339</v>
      </c>
    </row>
    <row r="177" spans="11:16" x14ac:dyDescent="0.25">
      <c r="K177" s="18"/>
      <c r="L177" s="27"/>
      <c r="M177" s="27"/>
      <c r="N177" s="43">
        <f t="shared" si="26"/>
        <v>36.969122638108018</v>
      </c>
      <c r="O177" s="43">
        <f t="shared" si="27"/>
        <v>42.992280659527005</v>
      </c>
      <c r="P177" s="51">
        <v>341</v>
      </c>
    </row>
    <row r="178" spans="11:16" x14ac:dyDescent="0.25">
      <c r="K178" s="18"/>
      <c r="L178" s="27"/>
      <c r="M178" s="27"/>
      <c r="N178" s="43">
        <f t="shared" si="26"/>
        <v>37.604368712029185</v>
      </c>
      <c r="O178" s="43">
        <f t="shared" si="27"/>
        <v>43.151092178007296</v>
      </c>
      <c r="P178" s="51">
        <v>343</v>
      </c>
    </row>
    <row r="179" spans="11:16" x14ac:dyDescent="0.25">
      <c r="K179" s="18"/>
      <c r="L179" s="27"/>
      <c r="M179" s="27"/>
      <c r="N179" s="43">
        <f t="shared" si="26"/>
        <v>38.248379895018431</v>
      </c>
      <c r="O179" s="43">
        <f t="shared" si="27"/>
        <v>43.312094973754611</v>
      </c>
      <c r="P179" s="51">
        <v>345</v>
      </c>
    </row>
    <row r="180" spans="11:16" x14ac:dyDescent="0.25">
      <c r="K180" s="18"/>
      <c r="L180" s="27"/>
      <c r="M180" s="27"/>
      <c r="N180" s="43">
        <f t="shared" si="26"/>
        <v>38.900392921839831</v>
      </c>
      <c r="O180" s="43">
        <f t="shared" si="27"/>
        <v>43.475098230459956</v>
      </c>
      <c r="P180" s="51">
        <v>347</v>
      </c>
    </row>
    <row r="181" spans="11:16" x14ac:dyDescent="0.25">
      <c r="K181" s="18"/>
      <c r="L181" s="27"/>
      <c r="M181" s="27"/>
      <c r="N181" s="43">
        <f t="shared" si="26"/>
        <v>39.559635043681119</v>
      </c>
      <c r="O181" s="43">
        <f t="shared" si="27"/>
        <v>43.639908760920278</v>
      </c>
      <c r="P181" s="51">
        <v>349</v>
      </c>
    </row>
    <row r="182" spans="11:16" x14ac:dyDescent="0.25">
      <c r="K182" s="18"/>
      <c r="L182" s="27"/>
      <c r="M182" s="27"/>
      <c r="N182" s="43">
        <f t="shared" si="26"/>
        <v>40.225324943995325</v>
      </c>
      <c r="O182" s="43">
        <f t="shared" si="27"/>
        <v>43.806331235998833</v>
      </c>
      <c r="P182" s="51">
        <v>351</v>
      </c>
    </row>
    <row r="183" spans="11:16" x14ac:dyDescent="0.25">
      <c r="K183" s="18"/>
      <c r="L183" s="27"/>
      <c r="M183" s="27"/>
      <c r="N183" s="43">
        <f t="shared" si="26"/>
        <v>40.896673664496909</v>
      </c>
      <c r="O183" s="43">
        <f t="shared" si="27"/>
        <v>43.974168416124229</v>
      </c>
      <c r="P183" s="51">
        <v>353</v>
      </c>
    </row>
    <row r="184" spans="11:16" x14ac:dyDescent="0.25">
      <c r="K184" s="18"/>
      <c r="L184" s="27"/>
      <c r="M184" s="27"/>
      <c r="N184" s="43">
        <f t="shared" si="26"/>
        <v>41.572885540214337</v>
      </c>
      <c r="O184" s="43">
        <f t="shared" si="27"/>
        <v>44.143221385053586</v>
      </c>
      <c r="P184" s="51">
        <v>355</v>
      </c>
    </row>
    <row r="185" spans="11:16" x14ac:dyDescent="0.25">
      <c r="K185" s="18"/>
      <c r="L185" s="27"/>
      <c r="M185" s="27"/>
      <c r="N185" s="43">
        <f t="shared" si="26"/>
        <v>42.253159142491583</v>
      </c>
      <c r="O185" s="43">
        <f t="shared" si="27"/>
        <v>44.313289785622899</v>
      </c>
      <c r="P185" s="51">
        <v>357</v>
      </c>
    </row>
    <row r="186" spans="11:16" x14ac:dyDescent="0.25">
      <c r="K186" s="18"/>
      <c r="L186" s="27"/>
      <c r="M186" s="27"/>
      <c r="N186" s="43">
        <f t="shared" si="26"/>
        <v>42.936688228820316</v>
      </c>
      <c r="O186" s="43">
        <f t="shared" si="27"/>
        <v>44.484172057205079</v>
      </c>
      <c r="P186" s="51">
        <v>359</v>
      </c>
    </row>
    <row r="187" spans="11:16" x14ac:dyDescent="0.25">
      <c r="K187" s="18"/>
      <c r="L187" s="27"/>
      <c r="M187" s="27"/>
      <c r="N187" s="43">
        <f t="shared" si="26"/>
        <v>43.622662698377567</v>
      </c>
      <c r="O187" s="43">
        <f t="shared" si="27"/>
        <v>44.655665674594395</v>
      </c>
      <c r="P187" s="51">
        <v>361</v>
      </c>
    </row>
    <row r="188" spans="11:16" x14ac:dyDescent="0.25">
      <c r="K188" s="18"/>
      <c r="L188" s="27"/>
      <c r="M188" s="27"/>
      <c r="N188" s="43">
        <f t="shared" si="26"/>
        <v>44.31026955213602</v>
      </c>
      <c r="O188" s="43">
        <f t="shared" si="27"/>
        <v>44.827567388034005</v>
      </c>
      <c r="P188" s="51">
        <v>363</v>
      </c>
    </row>
    <row r="189" spans="11:16" ht="13.25" thickBot="1" x14ac:dyDescent="0.3">
      <c r="K189" s="19"/>
      <c r="L189" s="32"/>
      <c r="M189" s="32"/>
      <c r="N189" s="47">
        <f t="shared" si="26"/>
        <v>44.998693856409183</v>
      </c>
      <c r="O189" s="47">
        <f t="shared" si="27"/>
        <v>44.999673464102294</v>
      </c>
      <c r="P189" s="59">
        <v>365</v>
      </c>
    </row>
    <row r="191" spans="11:16" x14ac:dyDescent="0.25">
      <c r="P191" s="36"/>
    </row>
    <row r="192" spans="11:16" x14ac:dyDescent="0.25">
      <c r="P192" s="36"/>
    </row>
    <row r="193" spans="16:16" x14ac:dyDescent="0.25">
      <c r="P193" s="36"/>
    </row>
    <row r="194" spans="16:16" x14ac:dyDescent="0.25">
      <c r="P194" s="36"/>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1. RH fluctuations</vt:lpstr>
      <vt:lpstr>2. Keep RH low</vt:lpstr>
      <vt:lpstr>3. Keep RH high</vt:lpstr>
      <vt:lpstr>4. Bibliography</vt:lpstr>
      <vt:lpstr>Intermediate</vt:lpstr>
    </vt:vector>
  </TitlesOfParts>
  <Company>CCI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dc:creator>
  <cp:lastModifiedBy>Marc-André Lorrain</cp:lastModifiedBy>
  <dcterms:created xsi:type="dcterms:W3CDTF">2008-10-28T14:25:00Z</dcterms:created>
  <dcterms:modified xsi:type="dcterms:W3CDTF">2024-01-16T10:45:04Z</dcterms:modified>
</cp:coreProperties>
</file>