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cr.int.ec.gc.ca\shares\S\SRAD_PID\NPRI Implementation\Website\Fuel Oil - Boilers_Heaters\"/>
    </mc:Choice>
  </mc:AlternateContent>
  <bookViews>
    <workbookView xWindow="-135" yWindow="-135" windowWidth="29070" windowHeight="15870" tabRatio="744"/>
  </bookViews>
  <sheets>
    <sheet name="Instructions" sheetId="13" r:id="rId1"/>
    <sheet name="Input Information" sheetId="1" r:id="rId2"/>
    <sheet name="Part 1 Releases" sheetId="14" r:id="rId3"/>
    <sheet name="Parts 2 and 3 Releases" sheetId="9" r:id="rId4"/>
    <sheet name="Part 4 Releases " sheetId="15" r:id="rId5"/>
    <sheet name="Part 5 Releases" sheetId="16" r:id="rId6"/>
    <sheet name="Site-Specific Emission Factors" sheetId="17" r:id="rId7"/>
    <sheet name="RESIDUAL MASTER SHEET" sheetId="6" r:id="rId8"/>
    <sheet name="DISTILLATE MASTER SHEET" sheetId="3" r:id="rId9"/>
    <sheet name="NPRI List 2019" sheetId="4" r:id="rId10"/>
  </sheets>
  <definedNames>
    <definedName name="_xlnm._FilterDatabase" localSheetId="8" hidden="1">'DISTILLATE MASTER SHEET'!$J$2:$J$95</definedName>
    <definedName name="_xlnm._FilterDatabase" localSheetId="7" hidden="1">'RESIDUAL MASTER SHEET'!$K$4:$L$48</definedName>
    <definedName name="_xlnm.Print_Area" localSheetId="8">'DISTILLATE MASTER SHEET'!$A$1:$I$96</definedName>
    <definedName name="_xlnm.Print_Area" localSheetId="1">'Input Information'!$A$1:$I$67</definedName>
    <definedName name="_xlnm.Print_Area" localSheetId="0">Instructions!$A$1:$A$38</definedName>
    <definedName name="_xlnm.Print_Area" localSheetId="2">'Part 1 Releases'!$A$1:$H$33</definedName>
    <definedName name="_xlnm.Print_Area" localSheetId="4">'Part 4 Releases '!$A$1:$H$12</definedName>
    <definedName name="_xlnm.Print_Area" localSheetId="5">'Part 5 Releases'!$A$1:$H$9</definedName>
    <definedName name="_xlnm.Print_Area" localSheetId="3">'Parts 2 and 3 Releases'!$A$1:$J$29</definedName>
    <definedName name="_xlnm.Print_Area" localSheetId="7">'RESIDUAL MASTER SHEET'!$A$1:$J$101</definedName>
    <definedName name="_xlnm.Print_Area" localSheetId="6">'Site-Specific Emission Factors'!$A$1:$J$13</definedName>
    <definedName name="_xlnm.Print_Titles" localSheetId="8">'DISTILLATE MASTER SHEET'!$1:$2</definedName>
    <definedName name="_xlnm.Print_Titles" localSheetId="1">'Input Information'!$1:$1</definedName>
    <definedName name="_xlnm.Print_Titles" localSheetId="7">'RESIDUAL MASTER SHEET'!$1:$2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9" l="1"/>
  <c r="F4" i="9"/>
  <c r="F5" i="9"/>
  <c r="F14" i="9"/>
  <c r="K31" i="3"/>
  <c r="K32" i="3"/>
  <c r="K33" i="3"/>
  <c r="J31" i="3"/>
  <c r="J32" i="3"/>
  <c r="J33" i="3"/>
  <c r="E31" i="3"/>
  <c r="G31" i="3" s="1"/>
  <c r="H31" i="3" s="1"/>
  <c r="E32" i="3"/>
  <c r="G32" i="3" s="1"/>
  <c r="H32" i="3" s="1"/>
  <c r="E33" i="3"/>
  <c r="G33" i="3" s="1"/>
  <c r="H33" i="3" s="1"/>
  <c r="L46" i="6"/>
  <c r="L47" i="6"/>
  <c r="L48" i="6"/>
  <c r="K46" i="6"/>
  <c r="K47" i="6"/>
  <c r="K48" i="6"/>
  <c r="G47" i="6"/>
  <c r="E46" i="6"/>
  <c r="G46" i="6" s="1"/>
  <c r="E47" i="6"/>
  <c r="E48" i="6"/>
  <c r="G48" i="6" s="1"/>
  <c r="E45" i="6"/>
  <c r="G7" i="17" l="1"/>
  <c r="G8" i="17"/>
  <c r="G9" i="17"/>
  <c r="G10" i="17"/>
  <c r="G6" i="17"/>
  <c r="G100" i="1" l="1"/>
  <c r="F100" i="1"/>
  <c r="E81" i="6"/>
  <c r="C16" i="1" l="1"/>
  <c r="B33" i="1" l="1"/>
  <c r="F5" i="16" l="1"/>
  <c r="F7" i="9"/>
  <c r="F6" i="16"/>
  <c r="F8" i="9"/>
  <c r="F7" i="16"/>
  <c r="F9" i="9"/>
  <c r="F10" i="9"/>
  <c r="F4" i="16"/>
  <c r="F6" i="15"/>
  <c r="F11" i="9"/>
  <c r="F4" i="15"/>
  <c r="F12" i="9"/>
  <c r="F8" i="15"/>
  <c r="F13" i="9"/>
  <c r="F16" i="9"/>
  <c r="F9" i="15"/>
  <c r="F15" i="9"/>
  <c r="F10" i="15"/>
  <c r="F7" i="15"/>
  <c r="F6" i="9"/>
  <c r="F5" i="15"/>
  <c r="F26" i="9"/>
  <c r="F27" i="14"/>
  <c r="F11" i="14"/>
  <c r="F13" i="14"/>
  <c r="F15" i="14"/>
  <c r="F5" i="14"/>
  <c r="F6" i="14"/>
  <c r="F26" i="14"/>
  <c r="F28" i="14"/>
  <c r="F12" i="14"/>
  <c r="F29" i="14"/>
  <c r="F14" i="14"/>
  <c r="F31" i="14"/>
  <c r="F25" i="14"/>
  <c r="F4" i="14"/>
  <c r="F9" i="14"/>
  <c r="F30" i="14"/>
  <c r="F16" i="14"/>
  <c r="F17" i="14"/>
  <c r="F8" i="14"/>
  <c r="F10" i="14"/>
  <c r="F7" i="14"/>
  <c r="F110" i="1"/>
  <c r="F109" i="1"/>
  <c r="F108" i="1"/>
  <c r="F107" i="1"/>
  <c r="G98" i="1"/>
  <c r="G108" i="1"/>
  <c r="G109" i="1"/>
  <c r="G110" i="1"/>
  <c r="G107" i="1"/>
  <c r="G101" i="1"/>
  <c r="G97" i="1"/>
  <c r="G99" i="1"/>
  <c r="G96" i="1"/>
  <c r="G102" i="1"/>
  <c r="F99" i="1"/>
  <c r="F101" i="1"/>
  <c r="F97" i="1"/>
  <c r="F98" i="1"/>
  <c r="F96" i="1"/>
  <c r="J48" i="3" l="1"/>
  <c r="D46" i="1" l="1"/>
  <c r="D88" i="6" l="1"/>
  <c r="H4" i="1"/>
  <c r="H37" i="1"/>
  <c r="H7" i="1"/>
  <c r="F65" i="6" s="1"/>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6" i="6"/>
  <c r="K6" i="6"/>
  <c r="E5" i="9" l="1"/>
  <c r="E9" i="9"/>
  <c r="E11" i="9"/>
  <c r="E17" i="9"/>
  <c r="E7" i="9"/>
  <c r="E14" i="9"/>
  <c r="E6" i="9"/>
  <c r="C4" i="9"/>
  <c r="E10" i="9"/>
  <c r="C5" i="9"/>
  <c r="C14" i="9"/>
  <c r="E15" i="9"/>
  <c r="E4" i="9"/>
  <c r="E8" i="9"/>
  <c r="E13" i="9"/>
  <c r="E12" i="9"/>
  <c r="E16" i="9"/>
  <c r="E126" i="1"/>
  <c r="F66" i="6"/>
  <c r="G98" i="6" s="1"/>
  <c r="F12" i="6" s="1"/>
  <c r="E61" i="3"/>
  <c r="F6" i="3"/>
  <c r="E5" i="15" s="1"/>
  <c r="F7" i="3"/>
  <c r="E6" i="15" s="1"/>
  <c r="F9" i="3"/>
  <c r="D9" i="3"/>
  <c r="E9" i="3" s="1"/>
  <c r="G9" i="3" s="1"/>
  <c r="D8" i="3"/>
  <c r="E8" i="3" s="1"/>
  <c r="G8" i="3" s="1"/>
  <c r="F8" i="3"/>
  <c r="E4" i="15" s="1"/>
  <c r="D7" i="3"/>
  <c r="E7" i="3" s="1"/>
  <c r="G7" i="3" s="1"/>
  <c r="E5" i="16"/>
  <c r="E29" i="14"/>
  <c r="E6" i="16"/>
  <c r="E26" i="14"/>
  <c r="E30" i="14"/>
  <c r="E7" i="16"/>
  <c r="E26" i="9"/>
  <c r="E27" i="14"/>
  <c r="E31" i="14"/>
  <c r="E4" i="16"/>
  <c r="E28" i="14"/>
  <c r="E25" i="14"/>
  <c r="E6" i="14"/>
  <c r="E4" i="14"/>
  <c r="E9" i="14"/>
  <c r="E10" i="14"/>
  <c r="E11" i="14"/>
  <c r="E14" i="14"/>
  <c r="E17" i="14"/>
  <c r="E7" i="14"/>
  <c r="E13" i="14"/>
  <c r="E15" i="14"/>
  <c r="E5" i="14"/>
  <c r="E8" i="14"/>
  <c r="E12" i="14"/>
  <c r="E16" i="14"/>
  <c r="F60" i="6"/>
  <c r="F9" i="6" s="1"/>
  <c r="D65" i="1"/>
  <c r="D67" i="1" s="1"/>
  <c r="D53" i="1"/>
  <c r="D55" i="1" s="1"/>
  <c r="D61" i="1"/>
  <c r="D63" i="1" s="1"/>
  <c r="D57" i="1"/>
  <c r="D59" i="1" s="1"/>
  <c r="F57" i="6"/>
  <c r="D7" i="6" s="1"/>
  <c r="E7" i="6" s="1"/>
  <c r="G7" i="6" s="1"/>
  <c r="F58" i="6"/>
  <c r="D8" i="6" s="1"/>
  <c r="E8" i="6" s="1"/>
  <c r="G8" i="6" s="1"/>
  <c r="E89" i="6"/>
  <c r="D89" i="6"/>
  <c r="E80" i="6"/>
  <c r="D80" i="6"/>
  <c r="E88" i="6"/>
  <c r="E79" i="6"/>
  <c r="D79" i="6"/>
  <c r="E90" i="6"/>
  <c r="D90" i="6"/>
  <c r="D81" i="6"/>
  <c r="K45" i="6"/>
  <c r="K33" i="6"/>
  <c r="K34" i="6"/>
  <c r="K35" i="6"/>
  <c r="K36" i="6"/>
  <c r="K37" i="6"/>
  <c r="K38" i="6"/>
  <c r="K39" i="6"/>
  <c r="K40" i="6"/>
  <c r="K41" i="6"/>
  <c r="K42" i="6"/>
  <c r="K43" i="6"/>
  <c r="K44" i="6"/>
  <c r="E32" i="6"/>
  <c r="G32" i="6" s="1"/>
  <c r="E33" i="6"/>
  <c r="G33" i="6" s="1"/>
  <c r="E34" i="6"/>
  <c r="G34" i="6" s="1"/>
  <c r="E35" i="6"/>
  <c r="G35" i="6" s="1"/>
  <c r="H35" i="6" s="1"/>
  <c r="E36" i="6"/>
  <c r="G36" i="6" s="1"/>
  <c r="E37" i="6"/>
  <c r="G37" i="6" s="1"/>
  <c r="H37" i="6" s="1"/>
  <c r="E38" i="6"/>
  <c r="E39" i="6"/>
  <c r="G39" i="6" s="1"/>
  <c r="E40" i="6"/>
  <c r="E41" i="6"/>
  <c r="G41" i="6" s="1"/>
  <c r="E42" i="6"/>
  <c r="G42" i="6" s="1"/>
  <c r="H42" i="6" s="1"/>
  <c r="E43" i="6"/>
  <c r="G43" i="6" s="1"/>
  <c r="H43" i="6" s="1"/>
  <c r="E44" i="6"/>
  <c r="G44" i="6" s="1"/>
  <c r="G45" i="6"/>
  <c r="K32" i="6"/>
  <c r="K31" i="6"/>
  <c r="E31" i="6"/>
  <c r="K30" i="6"/>
  <c r="E30" i="6"/>
  <c r="G30" i="6" s="1"/>
  <c r="K29" i="6"/>
  <c r="K28" i="6"/>
  <c r="E28" i="6"/>
  <c r="K27" i="6"/>
  <c r="E27" i="6"/>
  <c r="G27" i="6" s="1"/>
  <c r="H27" i="6" s="1"/>
  <c r="K26" i="6"/>
  <c r="E26" i="6"/>
  <c r="K25" i="6"/>
  <c r="E25" i="6"/>
  <c r="G25" i="6" s="1"/>
  <c r="K24" i="6"/>
  <c r="E24" i="6"/>
  <c r="G24" i="6" s="1"/>
  <c r="K23" i="6"/>
  <c r="E23" i="6"/>
  <c r="G23" i="6" s="1"/>
  <c r="K22" i="6"/>
  <c r="E22" i="6"/>
  <c r="G22" i="6" s="1"/>
  <c r="K21" i="6"/>
  <c r="E21" i="6"/>
  <c r="K20" i="6"/>
  <c r="E20" i="6"/>
  <c r="K19" i="6"/>
  <c r="E19" i="6"/>
  <c r="K18" i="6"/>
  <c r="E18" i="6"/>
  <c r="K17" i="6"/>
  <c r="E17" i="6"/>
  <c r="K16" i="6"/>
  <c r="E16" i="6"/>
  <c r="G16" i="6" s="1"/>
  <c r="H16" i="6" s="1"/>
  <c r="K15" i="6"/>
  <c r="E15" i="6"/>
  <c r="G15" i="6" s="1"/>
  <c r="K14" i="6"/>
  <c r="E14" i="6"/>
  <c r="G14" i="6" s="1"/>
  <c r="K13" i="6"/>
  <c r="E13" i="6"/>
  <c r="K12" i="6"/>
  <c r="K11" i="6"/>
  <c r="K10" i="6"/>
  <c r="K9" i="6"/>
  <c r="K8" i="6"/>
  <c r="K7" i="6"/>
  <c r="G40" i="6" l="1"/>
  <c r="H40" i="6" s="1"/>
  <c r="G17" i="6"/>
  <c r="H17" i="6" s="1"/>
  <c r="G38" i="6"/>
  <c r="H38" i="6" s="1"/>
  <c r="G28" i="6"/>
  <c r="H28" i="6" s="1"/>
  <c r="G18" i="6"/>
  <c r="H18" i="6" s="1"/>
  <c r="G31" i="6"/>
  <c r="H31" i="6" s="1"/>
  <c r="G13" i="6"/>
  <c r="H13" i="6" s="1"/>
  <c r="G19" i="6"/>
  <c r="H19" i="6" s="1"/>
  <c r="G20" i="6"/>
  <c r="H20" i="6" s="1"/>
  <c r="G26" i="6"/>
  <c r="H26" i="6" s="1"/>
  <c r="G21" i="6"/>
  <c r="H21" i="6" s="1"/>
  <c r="H48" i="6"/>
  <c r="G14" i="9" s="1"/>
  <c r="H47" i="6"/>
  <c r="G5" i="9" s="1"/>
  <c r="H46" i="6"/>
  <c r="G4" i="9" s="1"/>
  <c r="C10" i="14"/>
  <c r="C17" i="14"/>
  <c r="G97" i="6"/>
  <c r="D12" i="6" s="1"/>
  <c r="E12" i="6" s="1"/>
  <c r="E68" i="3"/>
  <c r="F10" i="3" s="1"/>
  <c r="E89" i="3"/>
  <c r="D12" i="3" s="1"/>
  <c r="E12" i="3" s="1"/>
  <c r="G12" i="3" s="1"/>
  <c r="H12" i="3" s="1"/>
  <c r="E90" i="3"/>
  <c r="F12" i="3" s="1"/>
  <c r="E7" i="15" s="1"/>
  <c r="E79" i="3"/>
  <c r="F11" i="3" s="1"/>
  <c r="E67" i="3"/>
  <c r="D10" i="3" s="1"/>
  <c r="E10" i="3" s="1"/>
  <c r="G10" i="3" s="1"/>
  <c r="H10" i="3" s="1"/>
  <c r="E78" i="3"/>
  <c r="D11" i="3" s="1"/>
  <c r="E11" i="3" s="1"/>
  <c r="G11" i="3" s="1"/>
  <c r="H11" i="3" s="1"/>
  <c r="H9" i="3"/>
  <c r="H8" i="3"/>
  <c r="E8" i="15"/>
  <c r="G89" i="6"/>
  <c r="F11" i="6" s="1"/>
  <c r="D29" i="6"/>
  <c r="E29" i="6" s="1"/>
  <c r="G29" i="6" s="1"/>
  <c r="H29" i="6" s="1"/>
  <c r="C31" i="14"/>
  <c r="C27" i="14"/>
  <c r="C16" i="14"/>
  <c r="G80" i="6"/>
  <c r="F10" i="6" s="1"/>
  <c r="H14" i="6"/>
  <c r="G10" i="14" s="1"/>
  <c r="H24" i="6"/>
  <c r="G27" i="14" s="1"/>
  <c r="H34" i="6"/>
  <c r="H25" i="6"/>
  <c r="H45" i="6"/>
  <c r="H33" i="6"/>
  <c r="H23" i="6"/>
  <c r="H22" i="6"/>
  <c r="H41" i="6"/>
  <c r="H8" i="6"/>
  <c r="H7" i="6"/>
  <c r="H36" i="6"/>
  <c r="H15" i="6"/>
  <c r="H44" i="6"/>
  <c r="G17" i="14" s="1"/>
  <c r="H32" i="6"/>
  <c r="H30" i="6"/>
  <c r="G31" i="14" s="1"/>
  <c r="H39" i="6"/>
  <c r="G16" i="14" s="1"/>
  <c r="K7" i="3"/>
  <c r="K8" i="3"/>
  <c r="K9" i="3"/>
  <c r="K10" i="3"/>
  <c r="K11" i="3"/>
  <c r="K12" i="3"/>
  <c r="K13" i="3"/>
  <c r="K14" i="3"/>
  <c r="K15" i="3"/>
  <c r="K16" i="3"/>
  <c r="K17" i="3"/>
  <c r="K18" i="3"/>
  <c r="K19" i="3"/>
  <c r="K20" i="3"/>
  <c r="K21" i="3"/>
  <c r="K22" i="3"/>
  <c r="K23" i="3"/>
  <c r="K24" i="3"/>
  <c r="K25" i="3"/>
  <c r="K26" i="3"/>
  <c r="K27" i="3"/>
  <c r="K28" i="3"/>
  <c r="K29" i="3"/>
  <c r="K30" i="3"/>
  <c r="K37" i="3"/>
  <c r="K40" i="3"/>
  <c r="K41" i="3"/>
  <c r="K42" i="3"/>
  <c r="K43" i="3"/>
  <c r="K44" i="3"/>
  <c r="K45" i="3"/>
  <c r="K46" i="3"/>
  <c r="K47" i="3"/>
  <c r="K48" i="3"/>
  <c r="K49" i="3"/>
  <c r="K6" i="3"/>
  <c r="J7" i="3"/>
  <c r="J8" i="3"/>
  <c r="J9" i="3"/>
  <c r="J10" i="3"/>
  <c r="J11" i="3"/>
  <c r="J12" i="3"/>
  <c r="J13" i="3"/>
  <c r="J14" i="3"/>
  <c r="J15" i="3"/>
  <c r="J16" i="3"/>
  <c r="J17" i="3"/>
  <c r="J18" i="3"/>
  <c r="J19" i="3"/>
  <c r="J20" i="3"/>
  <c r="J21" i="3"/>
  <c r="J22" i="3"/>
  <c r="J23" i="3"/>
  <c r="J24" i="3"/>
  <c r="J25" i="3"/>
  <c r="J26" i="3"/>
  <c r="J27" i="3"/>
  <c r="J28" i="3"/>
  <c r="J29" i="3"/>
  <c r="J30" i="3"/>
  <c r="J37" i="3"/>
  <c r="J40" i="3"/>
  <c r="J41" i="3"/>
  <c r="J42" i="3"/>
  <c r="J43" i="3"/>
  <c r="J44" i="3"/>
  <c r="J45" i="3"/>
  <c r="J46" i="3"/>
  <c r="J47" i="3"/>
  <c r="J49" i="3"/>
  <c r="J6" i="3"/>
  <c r="E30" i="3"/>
  <c r="C7" i="16" s="1"/>
  <c r="E29" i="3"/>
  <c r="C5" i="14" s="1"/>
  <c r="E28" i="3"/>
  <c r="C17" i="9" s="1"/>
  <c r="E27" i="3"/>
  <c r="C16" i="9" s="1"/>
  <c r="E26" i="3"/>
  <c r="C26" i="9" s="1"/>
  <c r="E25" i="3"/>
  <c r="C9" i="14" s="1"/>
  <c r="E24" i="3"/>
  <c r="C15" i="9" s="1"/>
  <c r="D23" i="3"/>
  <c r="E23" i="3" s="1"/>
  <c r="E22" i="3"/>
  <c r="C13" i="9" s="1"/>
  <c r="E21" i="3"/>
  <c r="C4" i="14" s="1"/>
  <c r="E20" i="3"/>
  <c r="C12" i="9" s="1"/>
  <c r="E19" i="3"/>
  <c r="C11" i="9" s="1"/>
  <c r="E18" i="3"/>
  <c r="C10" i="9" s="1"/>
  <c r="E17" i="3"/>
  <c r="C9" i="9" s="1"/>
  <c r="E16" i="3"/>
  <c r="C8" i="9" s="1"/>
  <c r="E15" i="3"/>
  <c r="C7" i="9" s="1"/>
  <c r="E14" i="3"/>
  <c r="C8" i="14" s="1"/>
  <c r="E13" i="3"/>
  <c r="C6" i="9" s="1"/>
  <c r="C4" i="15"/>
  <c r="C6" i="15"/>
  <c r="C7" i="15" l="1"/>
  <c r="G9" i="9"/>
  <c r="G7" i="9"/>
  <c r="G17" i="9"/>
  <c r="G15" i="9"/>
  <c r="G11" i="9"/>
  <c r="E9" i="15"/>
  <c r="E10" i="15"/>
  <c r="C7" i="14"/>
  <c r="C6" i="16"/>
  <c r="C4" i="16"/>
  <c r="C6" i="14"/>
  <c r="C5" i="16"/>
  <c r="G12" i="6"/>
  <c r="H12" i="6" s="1"/>
  <c r="G7" i="15" s="1"/>
  <c r="G4" i="15"/>
  <c r="G23" i="3"/>
  <c r="H23" i="3" s="1"/>
  <c r="G5" i="16" s="1"/>
  <c r="G27" i="3"/>
  <c r="H27" i="3" s="1"/>
  <c r="G16" i="9" s="1"/>
  <c r="G16" i="3"/>
  <c r="H16" i="3" s="1"/>
  <c r="G8" i="9" s="1"/>
  <c r="G18" i="3"/>
  <c r="H18" i="3" s="1"/>
  <c r="G10" i="9" s="1"/>
  <c r="G30" i="3"/>
  <c r="H30" i="3" s="1"/>
  <c r="G6" i="14" s="1"/>
  <c r="G19" i="3"/>
  <c r="H19" i="3" s="1"/>
  <c r="G20" i="3"/>
  <c r="H20" i="3" s="1"/>
  <c r="G12" i="9" s="1"/>
  <c r="G21" i="3"/>
  <c r="H21" i="3" s="1"/>
  <c r="G4" i="14" s="1"/>
  <c r="G25" i="3"/>
  <c r="H25" i="3" s="1"/>
  <c r="G9" i="14" s="1"/>
  <c r="H7" i="3"/>
  <c r="G6" i="15" s="1"/>
  <c r="G22" i="3"/>
  <c r="H22" i="3" s="1"/>
  <c r="G13" i="9" s="1"/>
  <c r="G24" i="3"/>
  <c r="H24" i="3" s="1"/>
  <c r="G13" i="3"/>
  <c r="H13" i="3" s="1"/>
  <c r="G6" i="9" s="1"/>
  <c r="G14" i="3"/>
  <c r="H14" i="3" s="1"/>
  <c r="G8" i="14" s="1"/>
  <c r="G26" i="3"/>
  <c r="H26" i="3" s="1"/>
  <c r="G26" i="9" s="1"/>
  <c r="G15" i="3"/>
  <c r="H15" i="3" s="1"/>
  <c r="G28" i="3"/>
  <c r="H28" i="3" s="1"/>
  <c r="G17" i="3"/>
  <c r="H17" i="3" s="1"/>
  <c r="G29" i="3"/>
  <c r="H29" i="3" s="1"/>
  <c r="G5" i="14" s="1"/>
  <c r="D47" i="1"/>
  <c r="B55" i="3"/>
  <c r="D22" i="1"/>
  <c r="D31" i="1"/>
  <c r="D30" i="1"/>
  <c r="D29" i="1"/>
  <c r="D28" i="1"/>
  <c r="D27" i="1"/>
  <c r="D26" i="1"/>
  <c r="C59" i="6" l="1"/>
  <c r="F59" i="6" s="1"/>
  <c r="D9" i="6" s="1"/>
  <c r="D6" i="3"/>
  <c r="E6" i="3" s="1"/>
  <c r="G6" i="3" s="1"/>
  <c r="G7" i="14"/>
  <c r="G7" i="16"/>
  <c r="G4" i="16"/>
  <c r="G6" i="16"/>
  <c r="E42" i="3"/>
  <c r="E43" i="3"/>
  <c r="E40" i="3"/>
  <c r="E44" i="3"/>
  <c r="E46" i="3"/>
  <c r="E41" i="3"/>
  <c r="E45" i="3"/>
  <c r="E47" i="3"/>
  <c r="E48" i="3"/>
  <c r="E49" i="3"/>
  <c r="C56" i="6"/>
  <c r="F56" i="6" s="1"/>
  <c r="D6" i="6" s="1"/>
  <c r="E56" i="6"/>
  <c r="D56" i="6"/>
  <c r="C66" i="6"/>
  <c r="C81" i="6" s="1"/>
  <c r="D32" i="1"/>
  <c r="D21" i="1"/>
  <c r="D23" i="1"/>
  <c r="D24" i="1"/>
  <c r="D25" i="1"/>
  <c r="G45" i="3" l="1"/>
  <c r="H45" i="3" s="1"/>
  <c r="G13" i="14" s="1"/>
  <c r="C13" i="14"/>
  <c r="G44" i="3"/>
  <c r="H44" i="3" s="1"/>
  <c r="G28" i="14" s="1"/>
  <c r="C28" i="14"/>
  <c r="G41" i="3"/>
  <c r="H41" i="3" s="1"/>
  <c r="G26" i="14" s="1"/>
  <c r="C26" i="14"/>
  <c r="G46" i="3"/>
  <c r="H46" i="3" s="1"/>
  <c r="G29" i="14" s="1"/>
  <c r="C29" i="14"/>
  <c r="G40" i="3"/>
  <c r="H40" i="3" s="1"/>
  <c r="G25" i="14" s="1"/>
  <c r="C25" i="14"/>
  <c r="G42" i="3"/>
  <c r="H42" i="3" s="1"/>
  <c r="G11" i="14" s="1"/>
  <c r="C11" i="14"/>
  <c r="G43" i="3"/>
  <c r="H43" i="3" s="1"/>
  <c r="G12" i="14" s="1"/>
  <c r="C12" i="14"/>
  <c r="G49" i="3"/>
  <c r="H49" i="3" s="1"/>
  <c r="G15" i="14" s="1"/>
  <c r="C15" i="14"/>
  <c r="G48" i="3"/>
  <c r="H48" i="3" s="1"/>
  <c r="G30" i="14" s="1"/>
  <c r="C30" i="14"/>
  <c r="G47" i="3"/>
  <c r="H47" i="3" s="1"/>
  <c r="G14" i="14" s="1"/>
  <c r="C14" i="14"/>
  <c r="H6" i="3"/>
  <c r="E6" i="6"/>
  <c r="C5" i="15" s="1"/>
  <c r="E9" i="6"/>
  <c r="C8" i="15" s="1"/>
  <c r="C89" i="6"/>
  <c r="C79" i="6"/>
  <c r="G79" i="6" s="1"/>
  <c r="C88" i="6"/>
  <c r="C80" i="6"/>
  <c r="C90" i="6"/>
  <c r="G9" i="6" l="1"/>
  <c r="H9" i="6" s="1"/>
  <c r="G8" i="15" s="1"/>
  <c r="G6" i="6"/>
  <c r="H6" i="6" s="1"/>
  <c r="G5" i="15" s="1"/>
  <c r="D10" i="6"/>
  <c r="E10" i="6" s="1"/>
  <c r="C9" i="15" s="1"/>
  <c r="G88" i="6"/>
  <c r="D11" i="6" s="1"/>
  <c r="E11" i="6" s="1"/>
  <c r="C10" i="15" s="1"/>
  <c r="G11" i="6" l="1"/>
  <c r="H11" i="6" s="1"/>
  <c r="G10" i="15" s="1"/>
  <c r="G10" i="6"/>
  <c r="H10" i="6" s="1"/>
  <c r="G9" i="15" s="1"/>
</calcChain>
</file>

<file path=xl/sharedStrings.xml><?xml version="1.0" encoding="utf-8"?>
<sst xmlns="http://schemas.openxmlformats.org/spreadsheetml/2006/main" count="2417" uniqueCount="894">
  <si>
    <t>Fuel Oil Usage</t>
  </si>
  <si>
    <t>Total Annual Consumption</t>
  </si>
  <si>
    <t>Fuel Heating Value</t>
  </si>
  <si>
    <t>Average Heating Value</t>
  </si>
  <si>
    <t>User-Defined (Site-Specific)</t>
  </si>
  <si>
    <t>Default</t>
  </si>
  <si>
    <t>HHV for calculations</t>
  </si>
  <si>
    <t>Fuel Sulphur Content</t>
  </si>
  <si>
    <t>Region</t>
  </si>
  <si>
    <t>National</t>
  </si>
  <si>
    <t>Fuel Type</t>
  </si>
  <si>
    <t>Ultra-Low Sulphur Diesel</t>
  </si>
  <si>
    <t>User-Defined (Site-Specific) Sulphur Content (%)</t>
  </si>
  <si>
    <t>Default Sulphur Content (%)</t>
  </si>
  <si>
    <t>Sulphur Content for Calculations</t>
  </si>
  <si>
    <t>Type of fuel</t>
  </si>
  <si>
    <t>Average Sulphur Content (%) 10Years (2003-2012)</t>
  </si>
  <si>
    <t>Atlantic</t>
  </si>
  <si>
    <t>Quebec</t>
  </si>
  <si>
    <t>Ontario</t>
  </si>
  <si>
    <t>West</t>
  </si>
  <si>
    <t xml:space="preserve">Low-Sulphur Diesel Fuel </t>
  </si>
  <si>
    <t xml:space="preserve">Light Fuel Oil </t>
  </si>
  <si>
    <t>Type of Boiler/Heater</t>
  </si>
  <si>
    <t xml:space="preserve">Contaminant </t>
  </si>
  <si>
    <t>Uncontrolled Emission Factor</t>
  </si>
  <si>
    <t>kg/year</t>
  </si>
  <si>
    <t>106-99-0</t>
  </si>
  <si>
    <t>Benzene</t>
  </si>
  <si>
    <t>71-43-2</t>
  </si>
  <si>
    <t>NA - 04</t>
  </si>
  <si>
    <t>Formaldehyde</t>
  </si>
  <si>
    <t>50-00-0</t>
  </si>
  <si>
    <t>Manganese (and its compounds)</t>
  </si>
  <si>
    <t>NA - 09</t>
  </si>
  <si>
    <t>Naphthalene</t>
  </si>
  <si>
    <t>91-20-3</t>
  </si>
  <si>
    <t>Nickel (and its compounds)</t>
  </si>
  <si>
    <t>NA - 11</t>
  </si>
  <si>
    <t>Arsenic (and its compounds)</t>
  </si>
  <si>
    <t>NA - 02</t>
  </si>
  <si>
    <t>Cadmium (and its compounds)</t>
  </si>
  <si>
    <t>NA - 03</t>
  </si>
  <si>
    <t>Lead (and its compounds, except Tetraethyl Lead)</t>
  </si>
  <si>
    <t>NA - 08</t>
  </si>
  <si>
    <t>Mercury (and its compounds)</t>
  </si>
  <si>
    <t>NA - 10</t>
  </si>
  <si>
    <t>Selenium (and its compounds)</t>
  </si>
  <si>
    <t>NA - 12</t>
  </si>
  <si>
    <t>NA - M09</t>
  </si>
  <si>
    <t>NA - M10</t>
  </si>
  <si>
    <t>NA - M16</t>
  </si>
  <si>
    <t>7446-09-5</t>
  </si>
  <si>
    <t>11104-93-1</t>
  </si>
  <si>
    <t>CO</t>
  </si>
  <si>
    <t>630-08-0</t>
  </si>
  <si>
    <t>TPM</t>
  </si>
  <si>
    <t>NA - M08</t>
  </si>
  <si>
    <t>Anthracene</t>
  </si>
  <si>
    <t>120-12-7</t>
  </si>
  <si>
    <t>Benzo(a)Anthracene</t>
  </si>
  <si>
    <t>56-55-3</t>
  </si>
  <si>
    <t>Benzo(a)Phenanthrene (Chrysene)</t>
  </si>
  <si>
    <t>218-01-9</t>
  </si>
  <si>
    <t>Benzo(b)Fluoranthene</t>
  </si>
  <si>
    <t>205-99-2</t>
  </si>
  <si>
    <t>Benzo(g,h,i)Perylene</t>
  </si>
  <si>
    <t>191-24-2</t>
  </si>
  <si>
    <t>Benzo(k)Fluoranthene</t>
  </si>
  <si>
    <t>207-08-9</t>
  </si>
  <si>
    <t>Dibenzo(a,h)Anthracene</t>
  </si>
  <si>
    <t>53-70-3</t>
  </si>
  <si>
    <t>Ethylbenzene</t>
  </si>
  <si>
    <t>100-41-4</t>
  </si>
  <si>
    <t>Fluoranthene</t>
  </si>
  <si>
    <t>206-44-0</t>
  </si>
  <si>
    <t>Indo(1,2,3-c,d)Pyrene</t>
  </si>
  <si>
    <t>193-39-5</t>
  </si>
  <si>
    <t>Octachlorodibenzo-P-Dioxin (OCDD)</t>
  </si>
  <si>
    <t>3268-87-9</t>
  </si>
  <si>
    <t>Phenanthrene</t>
  </si>
  <si>
    <t>85-01-8</t>
  </si>
  <si>
    <t>Pyrene</t>
  </si>
  <si>
    <t>129-00-0</t>
  </si>
  <si>
    <t>Toluene</t>
  </si>
  <si>
    <t>108-88-3</t>
  </si>
  <si>
    <t>1330-20-7</t>
  </si>
  <si>
    <t>Contaminant - Metal</t>
  </si>
  <si>
    <t>Chromium (and its compounds, Except Chromium VI compounds)</t>
  </si>
  <si>
    <t>Copper (and its compounds)</t>
  </si>
  <si>
    <t>NA - 06</t>
  </si>
  <si>
    <t>Zinc (and its compounds)</t>
  </si>
  <si>
    <t>NA - 14</t>
  </si>
  <si>
    <t>NPRI PART</t>
  </si>
  <si>
    <t>PART 5</t>
  </si>
  <si>
    <r>
      <t xml:space="preserve">CAS # or other substance identifier </t>
    </r>
    <r>
      <rPr>
        <b/>
        <vertAlign val="superscript"/>
        <sz val="9"/>
        <rFont val="Segoe UI"/>
        <family val="2"/>
      </rPr>
      <t>†</t>
    </r>
  </si>
  <si>
    <t>Prefix</t>
  </si>
  <si>
    <t xml:space="preserve">Name </t>
  </si>
  <si>
    <t>Gazette Notice Number (English)</t>
  </si>
  <si>
    <t>NPRI Part # (Threshold Category)</t>
  </si>
  <si>
    <t>Mass Threshold**</t>
  </si>
  <si>
    <t>Concentration Threshold**</t>
  </si>
  <si>
    <t>Is this substance a VOC?</t>
  </si>
  <si>
    <t>Is this substance a PAH?</t>
  </si>
  <si>
    <t>75-07-0</t>
  </si>
  <si>
    <t>Acetaldehyde</t>
  </si>
  <si>
    <t>1A</t>
  </si>
  <si>
    <t>VOC</t>
  </si>
  <si>
    <t/>
  </si>
  <si>
    <t>75-05-8</t>
  </si>
  <si>
    <t>Acetonitrile</t>
  </si>
  <si>
    <t>98-86-2</t>
  </si>
  <si>
    <t>Acetophenone</t>
  </si>
  <si>
    <t>107-02-8</t>
  </si>
  <si>
    <t>Acrolein</t>
  </si>
  <si>
    <t>79-06-1</t>
  </si>
  <si>
    <t>Acrylamide</t>
  </si>
  <si>
    <t>79-10-7</t>
  </si>
  <si>
    <t>Acrylic acid (and its salts)1</t>
  </si>
  <si>
    <t>107-18-6</t>
  </si>
  <si>
    <t>Allyl alcohol</t>
  </si>
  <si>
    <t>7429-90-5</t>
  </si>
  <si>
    <t>Aluminum (fume or dust only)</t>
  </si>
  <si>
    <t>1344-28-1</t>
  </si>
  <si>
    <t>Aluminum oxide (fibrous forms only)</t>
  </si>
  <si>
    <t>NA - 16</t>
  </si>
  <si>
    <t>Ammonia (total)</t>
  </si>
  <si>
    <t>62-53-3</t>
  </si>
  <si>
    <t>Aniline (and its salts)</t>
  </si>
  <si>
    <t>NA - 01</t>
  </si>
  <si>
    <t>Antimony (and its compounds)</t>
  </si>
  <si>
    <t>1332-21-4</t>
  </si>
  <si>
    <t>Asbestos (friable form only)</t>
  </si>
  <si>
    <t>98-88-4</t>
  </si>
  <si>
    <t>Benzoyl chloride</t>
  </si>
  <si>
    <t>94-36-0</t>
  </si>
  <si>
    <t>Benzoyl peroxide</t>
  </si>
  <si>
    <t>100-44-7</t>
  </si>
  <si>
    <t>Benzyl chloride</t>
  </si>
  <si>
    <t>92-52-4</t>
  </si>
  <si>
    <t>Biphenyl</t>
  </si>
  <si>
    <t>103-23-1</t>
  </si>
  <si>
    <t>Bis(2-ethylhexyl) adipate</t>
  </si>
  <si>
    <t>117-81-7</t>
  </si>
  <si>
    <t>Bis(2-ethylhexyl) phthalate</t>
  </si>
  <si>
    <t>7637-07-2</t>
  </si>
  <si>
    <t>Boron trifluoride</t>
  </si>
  <si>
    <t>7726-95-6</t>
  </si>
  <si>
    <t>Bromine</t>
  </si>
  <si>
    <t>74-83-9</t>
  </si>
  <si>
    <t>Bromomethane</t>
  </si>
  <si>
    <t>1,3-</t>
  </si>
  <si>
    <t>Butadiene</t>
  </si>
  <si>
    <t>111-76-2</t>
  </si>
  <si>
    <t>2-</t>
  </si>
  <si>
    <t>Butoxyethanol</t>
  </si>
  <si>
    <t>141-32-2</t>
  </si>
  <si>
    <t>Butyl acrylate</t>
  </si>
  <si>
    <t>78-83-1</t>
  </si>
  <si>
    <t>i-</t>
  </si>
  <si>
    <t>Butyl alcohol</t>
  </si>
  <si>
    <t>71-36-3</t>
  </si>
  <si>
    <t>n-</t>
  </si>
  <si>
    <t>78-92-2</t>
  </si>
  <si>
    <t>sec-</t>
  </si>
  <si>
    <t>75-65-0</t>
  </si>
  <si>
    <t>tert-</t>
  </si>
  <si>
    <t>85-68-7</t>
  </si>
  <si>
    <t>Butyl benzyl phthalate</t>
  </si>
  <si>
    <t>106-88-7</t>
  </si>
  <si>
    <t>1,2-</t>
  </si>
  <si>
    <t>Butylene oxide</t>
  </si>
  <si>
    <t>123-72-8</t>
  </si>
  <si>
    <t>Butyraldehyde</t>
  </si>
  <si>
    <t>569-64-2</t>
  </si>
  <si>
    <t xml:space="preserve">C.I. Basic Green </t>
  </si>
  <si>
    <t>2832-40-8</t>
  </si>
  <si>
    <t xml:space="preserve">C.I. Disperse Yellow </t>
  </si>
  <si>
    <t>7789-75-5</t>
  </si>
  <si>
    <t>Calcium fluoride</t>
  </si>
  <si>
    <t>75-15-0</t>
  </si>
  <si>
    <t>Carbon disulphide</t>
  </si>
  <si>
    <t>56-23-5</t>
  </si>
  <si>
    <t>Carbon tetrachloride</t>
  </si>
  <si>
    <t>463-58-1</t>
  </si>
  <si>
    <t>Carbonyl sulphide</t>
  </si>
  <si>
    <t>120-80-9</t>
  </si>
  <si>
    <t>Catechol</t>
  </si>
  <si>
    <t>75-69-4</t>
  </si>
  <si>
    <t>CFC-11</t>
  </si>
  <si>
    <t>75-71-8</t>
  </si>
  <si>
    <t>CFC-12</t>
  </si>
  <si>
    <t>75-72-9</t>
  </si>
  <si>
    <t>CFC-13</t>
  </si>
  <si>
    <t>76-14-2</t>
  </si>
  <si>
    <t>CFC-114</t>
  </si>
  <si>
    <t>76-15-3</t>
  </si>
  <si>
    <t>CFC-115</t>
  </si>
  <si>
    <t>7782-50-5</t>
  </si>
  <si>
    <t>Chlorine</t>
  </si>
  <si>
    <t>10049-04-4</t>
  </si>
  <si>
    <t>Chlorine dioxide</t>
  </si>
  <si>
    <t>79-11-8</t>
  </si>
  <si>
    <t>Chloroacetic acid (and its salts)</t>
  </si>
  <si>
    <t>108-90-7</t>
  </si>
  <si>
    <t>Chlorobenzene</t>
  </si>
  <si>
    <t>75-00-3</t>
  </si>
  <si>
    <t>Chloroethane</t>
  </si>
  <si>
    <t>67-66-3</t>
  </si>
  <si>
    <t>Chloroform</t>
  </si>
  <si>
    <t>74-87-3</t>
  </si>
  <si>
    <t>Chloromethane</t>
  </si>
  <si>
    <t>Chromium (and its compounds)4</t>
  </si>
  <si>
    <t>Copper (and its compounds)3</t>
  </si>
  <si>
    <t>1319-77-3</t>
  </si>
  <si>
    <t>Cresol (all isomers, and their salts)</t>
  </si>
  <si>
    <t>98-82-8</t>
  </si>
  <si>
    <t>Cumene</t>
  </si>
  <si>
    <t>80-15-9</t>
  </si>
  <si>
    <t>Cumene hydroperoxide</t>
  </si>
  <si>
    <t>NA - 07</t>
  </si>
  <si>
    <t>Cyanides (ionic)</t>
  </si>
  <si>
    <t>110-82-7</t>
  </si>
  <si>
    <t>Cyclohexane</t>
  </si>
  <si>
    <t>108-93-0</t>
  </si>
  <si>
    <t>Cyclohexanol</t>
  </si>
  <si>
    <t>1163-19-5</t>
  </si>
  <si>
    <t>Decabromodiphenyl oxide</t>
  </si>
  <si>
    <t>128-37-0</t>
  </si>
  <si>
    <t>2,6-</t>
  </si>
  <si>
    <t>Di-t-butyl-4-methylphenol</t>
  </si>
  <si>
    <t>84-74-2</t>
  </si>
  <si>
    <t>Dibutyl phthalate</t>
  </si>
  <si>
    <t>95-50-1</t>
  </si>
  <si>
    <t>o-</t>
  </si>
  <si>
    <t>Dichlorobenzene</t>
  </si>
  <si>
    <t>106-46-7</t>
  </si>
  <si>
    <t>p-</t>
  </si>
  <si>
    <t>612-83-9</t>
  </si>
  <si>
    <t>3,3'-</t>
  </si>
  <si>
    <t>Dichlorobenzidine dihydrochloride</t>
  </si>
  <si>
    <t>107-06-2</t>
  </si>
  <si>
    <t>Dichloroethane</t>
  </si>
  <si>
    <t>75-09-2</t>
  </si>
  <si>
    <t>Dichloromethane</t>
  </si>
  <si>
    <t>120-83-2</t>
  </si>
  <si>
    <t>2,4-</t>
  </si>
  <si>
    <t>Dichlorophenol (and its salts)</t>
  </si>
  <si>
    <t>78-87-5</t>
  </si>
  <si>
    <t>Dichloropropane</t>
  </si>
  <si>
    <t>77-73-6</t>
  </si>
  <si>
    <t>Dicyclopentadiene</t>
  </si>
  <si>
    <t>111-42-2</t>
  </si>
  <si>
    <t>Diethanolamine (and its salts)</t>
  </si>
  <si>
    <t>84-66-2</t>
  </si>
  <si>
    <t>Diethyl phthalate</t>
  </si>
  <si>
    <t>64-67-5</t>
  </si>
  <si>
    <t>Diethyl sulphate</t>
  </si>
  <si>
    <t>124-40-3</t>
  </si>
  <si>
    <t>Dimethylamine</t>
  </si>
  <si>
    <t>121-69-7</t>
  </si>
  <si>
    <t>N,N-</t>
  </si>
  <si>
    <t>Dimethylaniline (and its salts)</t>
  </si>
  <si>
    <t>68-12-2</t>
  </si>
  <si>
    <t>Dimethylformamide</t>
  </si>
  <si>
    <t>131-11-3</t>
  </si>
  <si>
    <t>Dimethyl phthalate</t>
  </si>
  <si>
    <t>77-78-1</t>
  </si>
  <si>
    <t>Dimethyl sulphate</t>
  </si>
  <si>
    <t>534-52-1</t>
  </si>
  <si>
    <t>4,6-</t>
  </si>
  <si>
    <t>Dinitro-o-cresol (and its salts)</t>
  </si>
  <si>
    <t>121-14-2</t>
  </si>
  <si>
    <t>Dinitrotoluene</t>
  </si>
  <si>
    <t>117-84-0</t>
  </si>
  <si>
    <t>Di-n-octyl phthalate</t>
  </si>
  <si>
    <t>123-91-1</t>
  </si>
  <si>
    <t>1,4-</t>
  </si>
  <si>
    <t>Dioxane</t>
  </si>
  <si>
    <t>122-39-4</t>
  </si>
  <si>
    <t>Diphenylamine</t>
  </si>
  <si>
    <t>106-89-8</t>
  </si>
  <si>
    <t>Epichlorohydrin</t>
  </si>
  <si>
    <t>110-80-5</t>
  </si>
  <si>
    <t>Ethoxyethanol</t>
  </si>
  <si>
    <t>111-15-9</t>
  </si>
  <si>
    <t>Ethoxyethyl acetate</t>
  </si>
  <si>
    <t>140-88-5</t>
  </si>
  <si>
    <t>Ethyl acrylate</t>
  </si>
  <si>
    <t>74-85-1</t>
  </si>
  <si>
    <t>Ethylene</t>
  </si>
  <si>
    <t>107-21-1</t>
  </si>
  <si>
    <t>Ethylene glycol</t>
  </si>
  <si>
    <t>75-21-8</t>
  </si>
  <si>
    <t>Ethylene oxide</t>
  </si>
  <si>
    <t>96-45-7</t>
  </si>
  <si>
    <t>Ethylene thiourea</t>
  </si>
  <si>
    <t>7782-41-4</t>
  </si>
  <si>
    <t>Fluorine</t>
  </si>
  <si>
    <t>64-18-6</t>
  </si>
  <si>
    <t>Formic acid</t>
  </si>
  <si>
    <t>353-59-3</t>
  </si>
  <si>
    <t>Halon 1211</t>
  </si>
  <si>
    <t>75-63-8</t>
  </si>
  <si>
    <t>Halon 1301</t>
  </si>
  <si>
    <t>75-45-6</t>
  </si>
  <si>
    <t>HCFC-22</t>
  </si>
  <si>
    <t>41834-16-6</t>
  </si>
  <si>
    <t>HCFC-122 (all isomers)</t>
  </si>
  <si>
    <t>34077-87-7</t>
  </si>
  <si>
    <t>HCFC-123 (all isomers)</t>
  </si>
  <si>
    <t>63938-10-3</t>
  </si>
  <si>
    <t>HCFC-124 (all isomers)</t>
  </si>
  <si>
    <t>1717-00-6</t>
  </si>
  <si>
    <t>HCFC-141b</t>
  </si>
  <si>
    <t>75-68-3</t>
  </si>
  <si>
    <t>HCFC-142b</t>
  </si>
  <si>
    <t>77-47-4</t>
  </si>
  <si>
    <t>Hexachlorocyclopentadiene</t>
  </si>
  <si>
    <t>70-30-4</t>
  </si>
  <si>
    <t>Hexachlorophene</t>
  </si>
  <si>
    <t>110-54-3</t>
  </si>
  <si>
    <t>Hexane</t>
  </si>
  <si>
    <t>7647-01-0</t>
  </si>
  <si>
    <t>Hydrochloric acid</t>
  </si>
  <si>
    <t>74-90-8</t>
  </si>
  <si>
    <t>Hydrogen cyanide</t>
  </si>
  <si>
    <t>7664-39-3</t>
  </si>
  <si>
    <t>Hydrogen fluoride</t>
  </si>
  <si>
    <t>7783-06-4</t>
  </si>
  <si>
    <t>Hydrogen sulphide</t>
  </si>
  <si>
    <t>123-31-9</t>
  </si>
  <si>
    <t>Hydroquinone (and its salts)</t>
  </si>
  <si>
    <t>13463-40-6</t>
  </si>
  <si>
    <t>Iron pentacarbonyl</t>
  </si>
  <si>
    <t>78-84-2</t>
  </si>
  <si>
    <t>Isobutyraldehyde</t>
  </si>
  <si>
    <t>4098-71-9</t>
  </si>
  <si>
    <t>Isophorone diisocyanate</t>
  </si>
  <si>
    <t>67-63-0</t>
  </si>
  <si>
    <t>Isopropyl alcohol</t>
  </si>
  <si>
    <t>554-13-2</t>
  </si>
  <si>
    <t>Lithium carbonate</t>
  </si>
  <si>
    <t>108-31-6</t>
  </si>
  <si>
    <t>Maleic anhydride</t>
  </si>
  <si>
    <t>149-30-4</t>
  </si>
  <si>
    <t>Mercaptobenzothiazole</t>
  </si>
  <si>
    <t>67-56-1</t>
  </si>
  <si>
    <t>Methanol</t>
  </si>
  <si>
    <t>109-86-4</t>
  </si>
  <si>
    <t>Methoxyethanol</t>
  </si>
  <si>
    <t>111-77-3</t>
  </si>
  <si>
    <t>2-(2-</t>
  </si>
  <si>
    <t>Methoxyethoxy)ethanol</t>
  </si>
  <si>
    <t>110-49-6</t>
  </si>
  <si>
    <t>Methoxyethyl acetate</t>
  </si>
  <si>
    <t>96-33-3</t>
  </si>
  <si>
    <t>Methyl acrylate</t>
  </si>
  <si>
    <t>1634-04-4</t>
  </si>
  <si>
    <t>Methyl tert-butyl ether</t>
  </si>
  <si>
    <t>101-14-4</t>
  </si>
  <si>
    <t>p,p'-</t>
  </si>
  <si>
    <t>Methylenebis(2-chloroaniline)</t>
  </si>
  <si>
    <t>5124-30-1</t>
  </si>
  <si>
    <t>1,1-</t>
  </si>
  <si>
    <t>Methylenebis(4-isocyanatocyclohexane)</t>
  </si>
  <si>
    <t>101-68-8</t>
  </si>
  <si>
    <t>Methylenebis(phenylisocyanate)</t>
  </si>
  <si>
    <t>101-77-9</t>
  </si>
  <si>
    <t>Methylenedianiline</t>
  </si>
  <si>
    <t>78-93-3</t>
  </si>
  <si>
    <t>Methyl ethyl ketone</t>
  </si>
  <si>
    <t>74-88-4</t>
  </si>
  <si>
    <t>Methyl iodide</t>
  </si>
  <si>
    <t>108-10-1</t>
  </si>
  <si>
    <t>Methyl isobutyl ketone</t>
  </si>
  <si>
    <t>80-62-6</t>
  </si>
  <si>
    <t>Methyl methacrylate</t>
  </si>
  <si>
    <t>924-42-5</t>
  </si>
  <si>
    <t>N-</t>
  </si>
  <si>
    <t>Methylolacrylamide</t>
  </si>
  <si>
    <t>872-50-4</t>
  </si>
  <si>
    <t>Methyl-2-pyrrolidone</t>
  </si>
  <si>
    <t>90-94-8</t>
  </si>
  <si>
    <t>Michler’s ketone (and its salts)</t>
  </si>
  <si>
    <t>1313-27-5</t>
  </si>
  <si>
    <t>Molybdenum trioxide</t>
  </si>
  <si>
    <t>PAH</t>
  </si>
  <si>
    <t>NA - 17</t>
  </si>
  <si>
    <t>Nitrate ion9</t>
  </si>
  <si>
    <t>7697-37-2</t>
  </si>
  <si>
    <t>Nitric acid</t>
  </si>
  <si>
    <t>139-13-9</t>
  </si>
  <si>
    <t>Nitrilotriacetic acid (and its salts)</t>
  </si>
  <si>
    <t>55-63-0</t>
  </si>
  <si>
    <t>Nitroglycerin</t>
  </si>
  <si>
    <t>79-46-9</t>
  </si>
  <si>
    <t>Nitropropane</t>
  </si>
  <si>
    <t>86-30-6</t>
  </si>
  <si>
    <t>Nitrosodiphenylamine</t>
  </si>
  <si>
    <t>NA - 21</t>
  </si>
  <si>
    <t>Octylphenol and its ethoxylates</t>
  </si>
  <si>
    <t>79-21-0</t>
  </si>
  <si>
    <t>Peracetic acid (and its salts)</t>
  </si>
  <si>
    <t>108-95-2</t>
  </si>
  <si>
    <t>Phenol (and its salts)1</t>
  </si>
  <si>
    <t>106-50-3</t>
  </si>
  <si>
    <t>Phenylenediamine (and its salts)</t>
  </si>
  <si>
    <t>75-44-5</t>
  </si>
  <si>
    <t>Phosgene</t>
  </si>
  <si>
    <t>7723-14-0</t>
  </si>
  <si>
    <t>Phosphorus (yellow or white only)</t>
  </si>
  <si>
    <t>NA - 22</t>
  </si>
  <si>
    <t>Phosphorus (total)</t>
  </si>
  <si>
    <t>85-44-9</t>
  </si>
  <si>
    <t>Phthalic anhydride</t>
  </si>
  <si>
    <t>9016-87-9</t>
  </si>
  <si>
    <t>Polymeric diphenylmethane diisocyanate</t>
  </si>
  <si>
    <t>7758-01-2</t>
  </si>
  <si>
    <t>Potassium bromate</t>
  </si>
  <si>
    <t>123-38-6</t>
  </si>
  <si>
    <t>Propionaldehyde</t>
  </si>
  <si>
    <t>115-07-1</t>
  </si>
  <si>
    <t>Propylene</t>
  </si>
  <si>
    <t>75-56-9</t>
  </si>
  <si>
    <t>Propylene oxide</t>
  </si>
  <si>
    <t>110-86-1</t>
  </si>
  <si>
    <t>Pyridine (and its salts)</t>
  </si>
  <si>
    <t>NA - 13</t>
  </si>
  <si>
    <t>Silver (and its compounds)</t>
  </si>
  <si>
    <t>7681-49-4</t>
  </si>
  <si>
    <t>Sodium fluoride</t>
  </si>
  <si>
    <t>7632-00-0</t>
  </si>
  <si>
    <t>Sodium nitrite</t>
  </si>
  <si>
    <t>100-42-5</t>
  </si>
  <si>
    <t>Styrene</t>
  </si>
  <si>
    <t>7664-93-9</t>
  </si>
  <si>
    <t>Sulphuric acid</t>
  </si>
  <si>
    <t>630-20-6</t>
  </si>
  <si>
    <t>1,1,1,2-</t>
  </si>
  <si>
    <t xml:space="preserve">Tetrachloroethane </t>
  </si>
  <si>
    <t>79-34-5</t>
  </si>
  <si>
    <t>1,1,2,2-</t>
  </si>
  <si>
    <t>Tetrachloroethane</t>
  </si>
  <si>
    <t>127-18-4</t>
  </si>
  <si>
    <t>Tetrachloroethylene</t>
  </si>
  <si>
    <t>62-56-6</t>
  </si>
  <si>
    <t>Thiourea</t>
  </si>
  <si>
    <t>1314-20-1</t>
  </si>
  <si>
    <t>Thorium dioxide</t>
  </si>
  <si>
    <t>7550-45-0</t>
  </si>
  <si>
    <t>Titanium tetrachloride</t>
  </si>
  <si>
    <t>NA - M14</t>
  </si>
  <si>
    <t>Total reduced sulphur (expressed as hydrogen sulphide)</t>
  </si>
  <si>
    <t>120-82-1</t>
  </si>
  <si>
    <t>1,2,4-</t>
  </si>
  <si>
    <t>Trichlorobenzene</t>
  </si>
  <si>
    <t>79-00-5</t>
  </si>
  <si>
    <t>1,1,2-</t>
  </si>
  <si>
    <t>Trichloroethane</t>
  </si>
  <si>
    <t>79-01-6</t>
  </si>
  <si>
    <t>Trichloroethylene</t>
  </si>
  <si>
    <t>121-44-8</t>
  </si>
  <si>
    <t>Triethylamine</t>
  </si>
  <si>
    <t>95-63-6</t>
  </si>
  <si>
    <t>Trimethylbenzene</t>
  </si>
  <si>
    <t>16938-22-0</t>
  </si>
  <si>
    <t>2,2,4-</t>
  </si>
  <si>
    <t>Trimethylhexamethylene diisocyanate</t>
  </si>
  <si>
    <t>NA - 40</t>
  </si>
  <si>
    <t>Vanadium (and its compounds)13</t>
  </si>
  <si>
    <t>108-05-4</t>
  </si>
  <si>
    <t>Vinyl acetate</t>
  </si>
  <si>
    <t>75-01-4</t>
  </si>
  <si>
    <t>Vinyl chloride</t>
  </si>
  <si>
    <t>Xylene (all isomers)</t>
  </si>
  <si>
    <t>107-13-1</t>
  </si>
  <si>
    <t>Acrylonitrile</t>
  </si>
  <si>
    <t>1B</t>
  </si>
  <si>
    <t>80-05-7</t>
  </si>
  <si>
    <t>Bisphenol A</t>
  </si>
  <si>
    <t>NA - 38</t>
  </si>
  <si>
    <t>Chlorinated alkanes, medium-chain, CnHxCl(2n+2–x), 14 ≤ n ≤ 17 15</t>
  </si>
  <si>
    <t>NA - 39</t>
  </si>
  <si>
    <t>Chlorinated alkanes, long-chain, CnHxCl(2n+2–x), 18 ≤ n ≤ 20 16</t>
  </si>
  <si>
    <t>NA - 05</t>
  </si>
  <si>
    <t>Cobalt (and its compounds)</t>
  </si>
  <si>
    <t>NA - 19</t>
  </si>
  <si>
    <t>Hexavalent chromium (and its compounds)</t>
  </si>
  <si>
    <t>302-01-2</t>
  </si>
  <si>
    <t>Hydrazine (and its salts)</t>
  </si>
  <si>
    <t>78-79-5</t>
  </si>
  <si>
    <t>Isoprene</t>
  </si>
  <si>
    <t>Lead (and its compounds)</t>
  </si>
  <si>
    <t>N/A</t>
  </si>
  <si>
    <t>NA - 20</t>
  </si>
  <si>
    <t>Nonylphenol and its ethoxylates</t>
  </si>
  <si>
    <t>78-00-2</t>
  </si>
  <si>
    <t>Tetraethyl lead</t>
  </si>
  <si>
    <t>NA - 37</t>
  </si>
  <si>
    <t>Thallium (and its compounds)</t>
  </si>
  <si>
    <t>584-84-9</t>
  </si>
  <si>
    <t>Toluene-2,4-diisocyanate</t>
  </si>
  <si>
    <t>91-08-7</t>
  </si>
  <si>
    <t>Toluene-2,6-diisocyanate</t>
  </si>
  <si>
    <t>26471-62-5</t>
  </si>
  <si>
    <t>Toluenediisocyanate (mixed isomers)</t>
  </si>
  <si>
    <t>83-32-9</t>
  </si>
  <si>
    <t>Acenaphthene</t>
  </si>
  <si>
    <t>50 kg total PAHs</t>
  </si>
  <si>
    <t>208-96-8</t>
  </si>
  <si>
    <t xml:space="preserve">Acenaphthylene </t>
  </si>
  <si>
    <t>Benz[a]anthracene</t>
  </si>
  <si>
    <t>50-32-8</t>
  </si>
  <si>
    <t>Benzo[a]pyrene</t>
  </si>
  <si>
    <t>Benzo[b]fluoranthene</t>
  </si>
  <si>
    <t>192-97-2</t>
  </si>
  <si>
    <t>Benzo[e]pyrene</t>
  </si>
  <si>
    <t>Benzo[ghi]perylene</t>
  </si>
  <si>
    <t>205-82-3</t>
  </si>
  <si>
    <t>Benzo[j]fluoranthene</t>
  </si>
  <si>
    <t>Benzo[k]fluoranthene</t>
  </si>
  <si>
    <t>Chrysene</t>
  </si>
  <si>
    <t>5385-75-1</t>
  </si>
  <si>
    <t>Dibenzo[a,e]fluoranthene</t>
  </si>
  <si>
    <t>192-65-4</t>
  </si>
  <si>
    <t>Dibenzo[a,e]pyrene</t>
  </si>
  <si>
    <t>226-36-8</t>
  </si>
  <si>
    <t>Dibenz[a,h]acridine</t>
  </si>
  <si>
    <t>Dibenz[a,h]anthracene</t>
  </si>
  <si>
    <t>189-64-0</t>
  </si>
  <si>
    <t>Dibenzo[a,h]pyrene</t>
  </si>
  <si>
    <t>189-55-9</t>
  </si>
  <si>
    <t>Dibenzo[a,i]pyrene</t>
  </si>
  <si>
    <t>224-42-0</t>
  </si>
  <si>
    <t>Dibenz[a,j]acridine</t>
  </si>
  <si>
    <t>191-30-0</t>
  </si>
  <si>
    <t>Dibenzo[a,l]pyrene</t>
  </si>
  <si>
    <t>194-59-2</t>
  </si>
  <si>
    <t>7H-</t>
  </si>
  <si>
    <t>Dibenzo[c,g]carbazole</t>
  </si>
  <si>
    <t>57-97-6</t>
  </si>
  <si>
    <t>7,12-</t>
  </si>
  <si>
    <t>Dimethylbenz[a]anthracene</t>
  </si>
  <si>
    <t>86-73-7</t>
  </si>
  <si>
    <t>Fluorene</t>
  </si>
  <si>
    <t>Indeno[1,2,3-cd]pyrene</t>
  </si>
  <si>
    <t>56-49-5</t>
  </si>
  <si>
    <t>3-</t>
  </si>
  <si>
    <t>Methylcholanthrene</t>
  </si>
  <si>
    <t>3697-24-3</t>
  </si>
  <si>
    <t>5-</t>
  </si>
  <si>
    <t>Methylchrysene</t>
  </si>
  <si>
    <t>5522-43-0</t>
  </si>
  <si>
    <t>1-</t>
  </si>
  <si>
    <t>Nitropyrene</t>
  </si>
  <si>
    <t>198-55-0</t>
  </si>
  <si>
    <t>Perylene</t>
  </si>
  <si>
    <t>91-22-5</t>
  </si>
  <si>
    <t>Quinoline</t>
  </si>
  <si>
    <t>1746-01-6</t>
  </si>
  <si>
    <t>2,3,7,8-</t>
  </si>
  <si>
    <t>Tetrachlorodibenzo-p-dioxin</t>
  </si>
  <si>
    <t>Activity-based</t>
  </si>
  <si>
    <t>40321-76-4</t>
  </si>
  <si>
    <t>1,2,3,7,8-</t>
  </si>
  <si>
    <t>Pentachlorodibenzo-p-dioxin</t>
  </si>
  <si>
    <t>39227-28-6</t>
  </si>
  <si>
    <t>1,2,3,4,7,8-</t>
  </si>
  <si>
    <t>Hexachlorodibenzo-p-dioxin</t>
  </si>
  <si>
    <t>19408-74-3</t>
  </si>
  <si>
    <t>1,2,3,7,8,9-</t>
  </si>
  <si>
    <t>57653-85-7</t>
  </si>
  <si>
    <t>1,2,3,6,7,8-</t>
  </si>
  <si>
    <t>35822-46-9</t>
  </si>
  <si>
    <t>1,2,3,4,6,7,8-</t>
  </si>
  <si>
    <t>Heptachlorodibenzo-p-dioxin</t>
  </si>
  <si>
    <t>Octachlorodibenzo-p-dioxin</t>
  </si>
  <si>
    <t>51207-31-9</t>
  </si>
  <si>
    <t>Tetrachlorodibenzofuran</t>
  </si>
  <si>
    <t>57117-31-4</t>
  </si>
  <si>
    <t>2,3,4,7,8-</t>
  </si>
  <si>
    <t>Pentachlorodibenzofuran</t>
  </si>
  <si>
    <t>57117-41-6</t>
  </si>
  <si>
    <t>70648-26-9</t>
  </si>
  <si>
    <t>Hexachlorodibenzofuran</t>
  </si>
  <si>
    <t>72918-21-9</t>
  </si>
  <si>
    <t>57117-44-9</t>
  </si>
  <si>
    <t>60851-34-5</t>
  </si>
  <si>
    <t>2,3,4,6,7,8-</t>
  </si>
  <si>
    <t>67562-39-4</t>
  </si>
  <si>
    <t>Heptachlorodibenzofuran</t>
  </si>
  <si>
    <t>55673-89-7</t>
  </si>
  <si>
    <t>1,2,3,4,7,8,9-</t>
  </si>
  <si>
    <t>39001-02-0</t>
  </si>
  <si>
    <t>Octachlorodibenzofuran</t>
  </si>
  <si>
    <t>118-74-1</t>
  </si>
  <si>
    <t xml:space="preserve">Hexachlorobenzene </t>
  </si>
  <si>
    <t>Carbon monoxide</t>
  </si>
  <si>
    <t>Nitrogen oxides (expressed as nitrogen dioxide)</t>
  </si>
  <si>
    <t>PM2.5</t>
  </si>
  <si>
    <t>PM10</t>
  </si>
  <si>
    <t xml:space="preserve">Sulphur dioxide </t>
  </si>
  <si>
    <t>Total particulate matter</t>
  </si>
  <si>
    <t>Volatile organic compounds</t>
  </si>
  <si>
    <t>74-86-2</t>
  </si>
  <si>
    <t>Acetylene</t>
  </si>
  <si>
    <t>124-04-9</t>
  </si>
  <si>
    <t>Adipic acid</t>
  </si>
  <si>
    <t xml:space="preserve">Butoxyethanol </t>
  </si>
  <si>
    <t>115-10-6</t>
  </si>
  <si>
    <t>Dimethylether</t>
  </si>
  <si>
    <t>64-17-5</t>
  </si>
  <si>
    <t>Ethanol</t>
  </si>
  <si>
    <t>141-78-6</t>
  </si>
  <si>
    <t>Ethyl acetate</t>
  </si>
  <si>
    <t>98-00-0</t>
  </si>
  <si>
    <t xml:space="preserve">Furfuryl alcohol                     </t>
  </si>
  <si>
    <t>5989-27-5</t>
  </si>
  <si>
    <t>D-</t>
  </si>
  <si>
    <t>Limonene</t>
  </si>
  <si>
    <t>96-37-7</t>
  </si>
  <si>
    <t>Methylcyclopentane</t>
  </si>
  <si>
    <t>123-35-3</t>
  </si>
  <si>
    <t>Myrcene</t>
  </si>
  <si>
    <t>555-10-2</t>
  </si>
  <si>
    <t>beta-</t>
  </si>
  <si>
    <t>Phellandrene</t>
  </si>
  <si>
    <t>80-56-8</t>
  </si>
  <si>
    <t>alpha-</t>
  </si>
  <si>
    <t>Pinene</t>
  </si>
  <si>
    <t>127-91-3</t>
  </si>
  <si>
    <t>74-98-6</t>
  </si>
  <si>
    <t>Propane</t>
  </si>
  <si>
    <t>71-23-8</t>
  </si>
  <si>
    <t>Propyl alcohol</t>
  </si>
  <si>
    <t>109-99-9</t>
  </si>
  <si>
    <t>Tetrahydrofuran</t>
  </si>
  <si>
    <t>NA - 24</t>
  </si>
  <si>
    <t>Butane  (all isomers)</t>
  </si>
  <si>
    <t>25167-67-3</t>
  </si>
  <si>
    <t>Butene  (all isomers)</t>
  </si>
  <si>
    <t>NA - 41</t>
  </si>
  <si>
    <t>Butyl acetate (all isomers)</t>
  </si>
  <si>
    <t>NA - 25</t>
  </si>
  <si>
    <t>Cycloheptane</t>
  </si>
  <si>
    <t>NA - 26</t>
  </si>
  <si>
    <t>Cyclohexene</t>
  </si>
  <si>
    <t>NA - 27</t>
  </si>
  <si>
    <t>Cyclooctane</t>
  </si>
  <si>
    <t>NA - 28</t>
  </si>
  <si>
    <t>Decane  (all isomers)</t>
  </si>
  <si>
    <t>NA - 42</t>
  </si>
  <si>
    <t>Ethyltoluene (all isomers)</t>
  </si>
  <si>
    <t>NA - 31</t>
  </si>
  <si>
    <t>Heptane  (all isomers)</t>
  </si>
  <si>
    <t>NA - 32</t>
  </si>
  <si>
    <t>25264-93-1</t>
  </si>
  <si>
    <t>Hexene  (all isomers)</t>
  </si>
  <si>
    <t>NA - 33</t>
  </si>
  <si>
    <t>Nonane  (all isomers)</t>
  </si>
  <si>
    <t>NA - 34</t>
  </si>
  <si>
    <t>Octane  (all isomers)</t>
  </si>
  <si>
    <t>NA - 35</t>
  </si>
  <si>
    <t>Pentane (all isomers)</t>
  </si>
  <si>
    <t>NA - 36</t>
  </si>
  <si>
    <t>Pentene (all isomers)</t>
  </si>
  <si>
    <t>NA - 43</t>
  </si>
  <si>
    <t>Propyl acetate (all isomers)</t>
  </si>
  <si>
    <t>25551-13-7</t>
  </si>
  <si>
    <t>NA - 44</t>
  </si>
  <si>
    <t>Analytically unresolved hydrocarbons (C10 to C16+)</t>
  </si>
  <si>
    <t>64741-65-7</t>
  </si>
  <si>
    <t>Heavy alkylate naphtha</t>
  </si>
  <si>
    <t>64742-94-5</t>
  </si>
  <si>
    <t>Heavy aromatic solvent naphtha</t>
  </si>
  <si>
    <t>64742-48-9</t>
  </si>
  <si>
    <t>Hydrotreated heavy naphtha</t>
  </si>
  <si>
    <t>64742-47-8</t>
  </si>
  <si>
    <t>Hydrotreated light distillate</t>
  </si>
  <si>
    <t>64742-95-6</t>
  </si>
  <si>
    <t>Light aromatic solvent naphtha</t>
  </si>
  <si>
    <t>64475-85-0</t>
  </si>
  <si>
    <t>Mineral spirits</t>
  </si>
  <si>
    <t>8030-30-6</t>
  </si>
  <si>
    <t>Naphtha</t>
  </si>
  <si>
    <t>NA - 45</t>
  </si>
  <si>
    <t>Other glycol ethers and acetates (and their isomers)</t>
  </si>
  <si>
    <t>108-65-6</t>
  </si>
  <si>
    <t>Propylene glycol methyl ether acetate</t>
  </si>
  <si>
    <t>64742-89-8</t>
  </si>
  <si>
    <t>Solvent naphtha light aliphatic</t>
  </si>
  <si>
    <t>64742-88-7</t>
  </si>
  <si>
    <t>Solvent naphtha medium aliphatic</t>
  </si>
  <si>
    <t>8052-41-3</t>
  </si>
  <si>
    <t>Stoddard solvent</t>
  </si>
  <si>
    <t>8032-32-4</t>
  </si>
  <si>
    <t>VM &amp; P naphtha</t>
  </si>
  <si>
    <t>8042-47-5</t>
  </si>
  <si>
    <t>White mineral oil</t>
  </si>
  <si>
    <t>NA - P/H</t>
  </si>
  <si>
    <t>MASTER SHEET - Distillate Oil</t>
  </si>
  <si>
    <t>MASTER SHEET - Residual Oil</t>
  </si>
  <si>
    <t>NO.6 Oil</t>
  </si>
  <si>
    <t>NO.5 Oil</t>
  </si>
  <si>
    <t>NO.4 Oil</t>
  </si>
  <si>
    <t>Benzo(a)Phenanthrene (chrysene)</t>
  </si>
  <si>
    <t>Benzo(K)Fluoranthene</t>
  </si>
  <si>
    <t>Chromium (and its compounds, except Chromium VI Compounds)</t>
  </si>
  <si>
    <t>Hexavalent Chromium Compounds</t>
  </si>
  <si>
    <t>Lead (and its compounds, except tetraethyl lead)</t>
  </si>
  <si>
    <t>Phosphorus</t>
  </si>
  <si>
    <t>Residual Oil - Fuel Grade Factor - (A Factor)</t>
  </si>
  <si>
    <t>A Factor</t>
  </si>
  <si>
    <t xml:space="preserve">Heavy Fuel Oil </t>
  </si>
  <si>
    <t>Fuel Oil Selection</t>
  </si>
  <si>
    <t>Residual Oil Grade</t>
  </si>
  <si>
    <t>No.6 Oil</t>
  </si>
  <si>
    <t>Fuel Grade</t>
  </si>
  <si>
    <t>I</t>
  </si>
  <si>
    <t>C</t>
  </si>
  <si>
    <t>U</t>
  </si>
  <si>
    <t>I = Industrial Boiler/Heater</t>
  </si>
  <si>
    <t>C = Commercial, Institutional, Residential Boiler/Heater</t>
  </si>
  <si>
    <t>U = Utility Boiler</t>
  </si>
  <si>
    <t>Boiler Type</t>
  </si>
  <si>
    <t>User Inputs - For MATCH/INDEX</t>
  </si>
  <si>
    <t>Contaminant</t>
  </si>
  <si>
    <t xml:space="preserve"> Fuel Grade</t>
  </si>
  <si>
    <t>Boiler/Heater Type</t>
  </si>
  <si>
    <t>Reference: AP-42 Table 1.3-1</t>
  </si>
  <si>
    <t>Reference: AP-42 Table1.3-3</t>
  </si>
  <si>
    <t>Reference: AP-42 Table1.3-4</t>
  </si>
  <si>
    <t>Reference: AP-42 Table1.3-5</t>
  </si>
  <si>
    <t>Reference: AP-42 Table1.3-7</t>
  </si>
  <si>
    <t>Reference for speciated VOCs: AP-42 Table 1.3-9</t>
  </si>
  <si>
    <t>Reference: AP-42 Table 1.3-10</t>
  </si>
  <si>
    <t>Reference for Metals: AP-42 Table 1.3-11</t>
  </si>
  <si>
    <t>Sulphur Content % - Hidden</t>
  </si>
  <si>
    <t>Vanadium (and its compounds)</t>
  </si>
  <si>
    <t>NO2</t>
  </si>
  <si>
    <t>Low Excess Air (LEA)</t>
  </si>
  <si>
    <t>Staged Combustion (SC)</t>
  </si>
  <si>
    <t>Low NOx Burners (LNB)</t>
  </si>
  <si>
    <t>Selective Noncatalytic Reduction (SNCR)</t>
  </si>
  <si>
    <t>Flue Gas Recirculation (FGR)</t>
  </si>
  <si>
    <t>SO2</t>
  </si>
  <si>
    <t>Furnace Injection or Duct Injection</t>
  </si>
  <si>
    <t>Spray Drying</t>
  </si>
  <si>
    <t>Wet Scrubber (Dual Alkali)</t>
  </si>
  <si>
    <t>No Control</t>
  </si>
  <si>
    <t>Fuel Alteration - Water Emulsion</t>
  </si>
  <si>
    <t>Electrostatic Precipitator (ESP)</t>
  </si>
  <si>
    <t>Scrubber</t>
  </si>
  <si>
    <t>PM LIST</t>
  </si>
  <si>
    <t>D</t>
  </si>
  <si>
    <t>Eff% for Fuel Type</t>
  </si>
  <si>
    <t>R</t>
  </si>
  <si>
    <t>Technique</t>
  </si>
  <si>
    <t>Multiple Cyclone</t>
  </si>
  <si>
    <t>Control Efficiency Factors % - Hidden</t>
  </si>
  <si>
    <t>Wet Scrubber (Lime/Limestone;Sodium Carbonate;Magnesium Oxide/Hydroxide)</t>
  </si>
  <si>
    <t>Carbon Monoxide (CO) Control</t>
  </si>
  <si>
    <t>Particulate Matter Control</t>
  </si>
  <si>
    <t>Eff% for Type of Boiler</t>
  </si>
  <si>
    <t>Residual - MATCH/INDEX</t>
  </si>
  <si>
    <t>Uncontrolled Annual Emission</t>
  </si>
  <si>
    <t>Controlled Annual Emission</t>
  </si>
  <si>
    <t>Input Data</t>
  </si>
  <si>
    <r>
      <t>GJ/m</t>
    </r>
    <r>
      <rPr>
        <b/>
        <vertAlign val="superscript"/>
        <sz val="10"/>
        <rFont val="Arial   "/>
      </rPr>
      <t>3</t>
    </r>
  </si>
  <si>
    <r>
      <t>NO</t>
    </r>
    <r>
      <rPr>
        <b/>
        <i/>
        <vertAlign val="subscript"/>
        <sz val="10"/>
        <color theme="1"/>
        <rFont val="Arial   "/>
      </rPr>
      <t>X</t>
    </r>
    <r>
      <rPr>
        <b/>
        <i/>
        <sz val="10"/>
        <color theme="1"/>
        <rFont val="Arial   "/>
      </rPr>
      <t xml:space="preserve"> Control</t>
    </r>
  </si>
  <si>
    <r>
      <t>SO</t>
    </r>
    <r>
      <rPr>
        <b/>
        <i/>
        <vertAlign val="subscript"/>
        <sz val="10"/>
        <color theme="1"/>
        <rFont val="Arial   "/>
      </rPr>
      <t>2</t>
    </r>
    <r>
      <rPr>
        <b/>
        <i/>
        <sz val="10"/>
        <color theme="1"/>
        <rFont val="Arial   "/>
      </rPr>
      <t xml:space="preserve"> Control</t>
    </r>
  </si>
  <si>
    <t>Section 1</t>
  </si>
  <si>
    <t>Section 2</t>
  </si>
  <si>
    <t>Select the type of fuel oil for your Boiler/Heater.</t>
  </si>
  <si>
    <t xml:space="preserve">For Residual Fuel Oil burners, select the fuel grade. </t>
  </si>
  <si>
    <t>Month</t>
  </si>
  <si>
    <t>January</t>
  </si>
  <si>
    <t>February</t>
  </si>
  <si>
    <t>March</t>
  </si>
  <si>
    <t xml:space="preserve">April </t>
  </si>
  <si>
    <t xml:space="preserve">May </t>
  </si>
  <si>
    <t>June</t>
  </si>
  <si>
    <t>July</t>
  </si>
  <si>
    <t>August</t>
  </si>
  <si>
    <t>October</t>
  </si>
  <si>
    <t>November</t>
  </si>
  <si>
    <t>December</t>
  </si>
  <si>
    <t>Emission Control Device (Site-Specific) Control Efficiency (%)</t>
  </si>
  <si>
    <t>Section 4</t>
  </si>
  <si>
    <t>Section 5</t>
  </si>
  <si>
    <t>Emission Control Devices</t>
  </si>
  <si>
    <t xml:space="preserve">Select the type of your boiler or heater at the facility. </t>
  </si>
  <si>
    <t xml:space="preserve">If the Boiler/Heater is equipped with an emission control device, select the technology or enter the control efficiency for the device. </t>
  </si>
  <si>
    <t>Fuel Oil Combustion - Boilers and Heaters</t>
  </si>
  <si>
    <t>Purpose</t>
  </si>
  <si>
    <t>How to Use the Estimation Tool</t>
  </si>
  <si>
    <t>Sources of Information</t>
  </si>
  <si>
    <t>Additional Information</t>
  </si>
  <si>
    <t>Emission factor ratings have been provided for each emission factor in the column following the emission factor units.  For more information on what these ratings mean, refer to the FAQs in the AP-42 document: http://www.epa.gov/ttn/chief/faq/ap42faq.html#ratings</t>
  </si>
  <si>
    <t xml:space="preserve">Since the NPRI reporting thresholds are for the facility as a whole the air releases calculated in this spreadsheet must be added to the NPRI releases from other sources (air releases) and activities at the facility.  </t>
  </si>
  <si>
    <t>Part 1A Substance Releases</t>
  </si>
  <si>
    <t>Substance Name</t>
  </si>
  <si>
    <t>CAS Number</t>
  </si>
  <si>
    <t>EF Rating</t>
  </si>
  <si>
    <t>Activity Rate from Input Tab</t>
  </si>
  <si>
    <t>Units</t>
  </si>
  <si>
    <t>Part 4 Criteria Air Contaminants (CAC) Releases</t>
  </si>
  <si>
    <t>Part 5 Selected Volatile Organic Compounds Releases</t>
  </si>
  <si>
    <t>Part 2 Substance Releases</t>
  </si>
  <si>
    <t>Activity Rate from input tab</t>
  </si>
  <si>
    <t>kg</t>
  </si>
  <si>
    <t>Part 3 Substance Releases</t>
  </si>
  <si>
    <t>Total Release</t>
  </si>
  <si>
    <t>Octachlorodibenzo-p-dioxin (OCDD)</t>
  </si>
  <si>
    <t xml:space="preserve">% of Annual </t>
  </si>
  <si>
    <r>
      <t>Enter the monthly fuel oil consumption in cubic metres (m</t>
    </r>
    <r>
      <rPr>
        <vertAlign val="superscript"/>
        <sz val="10"/>
        <rFont val="Arial   "/>
      </rPr>
      <t>3</t>
    </r>
    <r>
      <rPr>
        <sz val="10"/>
        <rFont val="Arial   "/>
      </rPr>
      <t xml:space="preserve">). To convert litres to cubic metres (m³), divide by 1000. </t>
    </r>
  </si>
  <si>
    <t>m³</t>
  </si>
  <si>
    <t>Section 1-A</t>
  </si>
  <si>
    <t>Emission Factor Rating</t>
  </si>
  <si>
    <t>Part 1B Substance Releases</t>
  </si>
  <si>
    <t>A</t>
  </si>
  <si>
    <t>E</t>
  </si>
  <si>
    <t>B</t>
  </si>
  <si>
    <t>TPM - EF rating</t>
  </si>
  <si>
    <r>
      <t>kg/m</t>
    </r>
    <r>
      <rPr>
        <vertAlign val="superscript"/>
        <sz val="10"/>
        <color theme="1"/>
        <rFont val="Arial"/>
        <family val="2"/>
      </rPr>
      <t>3</t>
    </r>
  </si>
  <si>
    <r>
      <t>kg/m</t>
    </r>
    <r>
      <rPr>
        <vertAlign val="superscript"/>
        <sz val="10"/>
        <color theme="1"/>
        <rFont val="Arial"/>
        <family val="2"/>
      </rPr>
      <t>3</t>
    </r>
    <r>
      <rPr>
        <sz val="11"/>
        <color theme="1"/>
        <rFont val="Calibri"/>
        <family val="2"/>
        <scheme val="minor"/>
      </rPr>
      <t/>
    </r>
  </si>
  <si>
    <t>tonnes</t>
  </si>
  <si>
    <t>kilograms</t>
  </si>
  <si>
    <t>Xylenes (all isomers)</t>
  </si>
  <si>
    <t>Total Particulate Matter (TPM)</t>
  </si>
  <si>
    <t>Volatile Organic Compounds (VOCs)</t>
  </si>
  <si>
    <t>Carbon Monoxide (CO)</t>
  </si>
  <si>
    <r>
      <t>kg/m</t>
    </r>
    <r>
      <rPr>
        <vertAlign val="superscript"/>
        <sz val="10"/>
        <color theme="1"/>
        <rFont val="Arial "/>
      </rPr>
      <t>3</t>
    </r>
    <r>
      <rPr>
        <sz val="11"/>
        <color theme="1"/>
        <rFont val="Calibri"/>
        <family val="2"/>
        <scheme val="minor"/>
      </rPr>
      <t/>
    </r>
  </si>
  <si>
    <r>
      <t>kg/m</t>
    </r>
    <r>
      <rPr>
        <vertAlign val="superscript"/>
        <sz val="10"/>
        <color theme="1"/>
        <rFont val="Arial "/>
      </rPr>
      <t>3</t>
    </r>
  </si>
  <si>
    <t xml:space="preserve">To convert BTU/gal to GJ/m³, divide by 3588. </t>
  </si>
  <si>
    <t>Section 3</t>
  </si>
  <si>
    <t>EF</t>
  </si>
  <si>
    <t xml:space="preserve">Reference: AP-42 Table 1.3-7 for Commercial </t>
  </si>
  <si>
    <t>Rating</t>
  </si>
  <si>
    <t>Flue Gas Recirculation plus Staged Combustion</t>
  </si>
  <si>
    <r>
      <t>Sulphur Dioxide (SO</t>
    </r>
    <r>
      <rPr>
        <vertAlign val="subscript"/>
        <sz val="10"/>
        <color theme="1"/>
        <rFont val="Arial "/>
      </rPr>
      <t>2</t>
    </r>
    <r>
      <rPr>
        <sz val="10"/>
        <color theme="1"/>
        <rFont val="Arial "/>
      </rPr>
      <t>)</t>
    </r>
  </si>
  <si>
    <r>
      <t>Oxides of Nitrogen, expressed as NO</t>
    </r>
    <r>
      <rPr>
        <vertAlign val="subscript"/>
        <sz val="10"/>
        <color theme="1"/>
        <rFont val="Arial "/>
      </rPr>
      <t>2</t>
    </r>
    <r>
      <rPr>
        <sz val="10"/>
        <color theme="1"/>
        <rFont val="Arial "/>
      </rPr>
      <t xml:space="preserve"> (NO</t>
    </r>
    <r>
      <rPr>
        <vertAlign val="subscript"/>
        <sz val="10"/>
        <color theme="1"/>
        <rFont val="Arial "/>
      </rPr>
      <t>X</t>
    </r>
    <r>
      <rPr>
        <sz val="10"/>
        <color theme="1"/>
        <rFont val="Arial "/>
      </rPr>
      <t>)</t>
    </r>
  </si>
  <si>
    <r>
      <t>Particulate Matter less than or equal to 10 µm (PM</t>
    </r>
    <r>
      <rPr>
        <vertAlign val="subscript"/>
        <sz val="10"/>
        <rFont val="Arial "/>
      </rPr>
      <t>10</t>
    </r>
    <r>
      <rPr>
        <sz val="10"/>
        <rFont val="Arial "/>
      </rPr>
      <t>)</t>
    </r>
  </si>
  <si>
    <r>
      <t>Particulate Matter less than or equal to 2.5 µm (PM</t>
    </r>
    <r>
      <rPr>
        <vertAlign val="subscript"/>
        <sz val="10"/>
        <rFont val="Arial "/>
      </rPr>
      <t>2.5</t>
    </r>
    <r>
      <rPr>
        <sz val="10"/>
        <rFont val="Arial "/>
      </rPr>
      <t>)</t>
    </r>
  </si>
  <si>
    <t>Once you have entered all the required values you can view the generated release estimates, which will appear in bold font by selecting one of the following four tabs: "Part 1 Releases", "Part 2 and 3 Releases", "Part 4 Releases", and "Part 5 Releases". Part 1 releases include the core NPRI substances with a 10-tonne manufacture, process or otherwise use threshold, along with other selected metal compounds with variable thresholds ranging from 5-kg to 1000-kg. Part 2 and 3 releases include PAHs and dioxins and furans, respectively. This Calculator does not estimate the speciated PAHs, as well as any Part 3 releases. The Part 2 substances have an incidentally manufactured reporting threshold and Part 3 substances have an activity based reporting threshold. Part 4 releases include the seven Criteria Air Contaminants which have release-based thresholds. Part 5 releases include the selected VOCs with additional reporting requirements, also referred to as "speciated VOC's".</t>
  </si>
  <si>
    <t>Part 1,2,3,4,5 Substance emissions factors are from the US EPA WebFIRE (version May 2010) database and AP-42 Chapter 1.3 Fuel Oil Combustion.</t>
  </si>
  <si>
    <t xml:space="preserve">The spreadsheet has been populated with default emission factors,  however if you have a site specific emission factor you would prefer to use a template has been provided in the "Site-Specific Emission Factor" tab for this calculation. If you choose to insert your own emission factor ensure that the units have been converted accordingly, and that you consider only the emissions calculated in the "Site Specific Tab" for that contaminant.  </t>
  </si>
  <si>
    <r>
      <t>The emission factors used in this spreadsheet are based on uncontrolled emissions. Section 5 of the "Input Information" tab provides the opportunity to adjust the emissions for any, or all, contaminants to reflect emission control devices at the facility. This can be done by selecting a default published control efficiency provided or by entering a site-specific control efficiency. For Particulate Matter, it is assumed that the control efficiency is the same for Total Particulate Matter (TPM), Particulate Matter less than or equal to 10 µm (PM</t>
    </r>
    <r>
      <rPr>
        <vertAlign val="subscript"/>
        <sz val="10"/>
        <rFont val="Arial"/>
        <family val="2"/>
      </rPr>
      <t>10</t>
    </r>
    <r>
      <rPr>
        <sz val="10"/>
        <rFont val="Arial"/>
        <family val="2"/>
      </rPr>
      <t>), and Particulate Matter less than or equal to 2.5 µm (PM</t>
    </r>
    <r>
      <rPr>
        <vertAlign val="subscript"/>
        <sz val="10"/>
        <rFont val="Arial"/>
        <family val="2"/>
      </rPr>
      <t>2.5</t>
    </r>
    <r>
      <rPr>
        <sz val="10"/>
        <rFont val="Arial"/>
        <family val="2"/>
      </rPr>
      <t xml:space="preserve">). </t>
    </r>
  </si>
  <si>
    <t>By selecting the "Input Information" tab in this workbook you may enter all of the relevant data required to perform the release estimates calculated in the following four tabs. 
Cells highlighted in yellow are required values for the Estimation Tool. Some yellow cells have a dropdown menu to allow selection of the appropriate region, fuel type, or emission control device(s), and default values have been provided for some required values should site-specific values not be available.</t>
  </si>
  <si>
    <t>The default control efficiencies are based on the data published in US EPA AP-42 Chapter 1.3.</t>
  </si>
  <si>
    <r>
      <t>This calculator is designed to estimate emissions from all types of boilers and heaters that use fuel oil as their source of combustion. The NO</t>
    </r>
    <r>
      <rPr>
        <vertAlign val="subscript"/>
        <sz val="10"/>
        <color theme="1"/>
        <rFont val="Arial"/>
        <family val="2"/>
      </rPr>
      <t>X</t>
    </r>
    <r>
      <rPr>
        <sz val="10"/>
        <color theme="1"/>
        <rFont val="Arial"/>
        <family val="2"/>
      </rPr>
      <t xml:space="preserve"> emissions, however, are presented for smaller boilers (less than 100 MMBtu/h) heat inputs. If your facility operates boilers/heaters with heat inputs greater than 100 MMBtu/h, the NO</t>
    </r>
    <r>
      <rPr>
        <vertAlign val="subscript"/>
        <sz val="10"/>
        <color theme="1"/>
        <rFont val="Arial"/>
        <family val="2"/>
      </rPr>
      <t>X</t>
    </r>
    <r>
      <rPr>
        <sz val="10"/>
        <color theme="1"/>
        <rFont val="Arial"/>
        <family val="2"/>
      </rPr>
      <t xml:space="preserve"> emission factors for "Boilers &gt;100 Million Btu/hr" published in USEPA AP-42 section 1.3, Table 1.3-1, must be used rather than the emission factors provided in this calculator. </t>
    </r>
  </si>
  <si>
    <t>To maintain consistency with the NPRI reporting software, this workbook generates values to three decimal places.</t>
  </si>
  <si>
    <t xml:space="preserve">The "RESIDUAL MASTER SHEET" and "DISTILLATE MASTER SHEET" tab show the details of the calculations such as the uncontrolled and controlled emissions, and the category of the NPRI reporting. The values in this sheet are locked and cannot be revised by the user. </t>
  </si>
  <si>
    <r>
      <t>lb/10</t>
    </r>
    <r>
      <rPr>
        <vertAlign val="superscript"/>
        <sz val="11"/>
        <color theme="1"/>
        <rFont val="Arial"/>
        <family val="2"/>
      </rPr>
      <t>3</t>
    </r>
    <r>
      <rPr>
        <sz val="11"/>
        <color theme="1"/>
        <rFont val="Arial"/>
        <family val="2"/>
      </rPr>
      <t xml:space="preserve"> US gal</t>
    </r>
  </si>
  <si>
    <r>
      <t>kg/m</t>
    </r>
    <r>
      <rPr>
        <vertAlign val="superscript"/>
        <sz val="11"/>
        <color theme="1"/>
        <rFont val="Arial"/>
        <family val="2"/>
      </rPr>
      <t>3</t>
    </r>
  </si>
  <si>
    <r>
      <t>Sulphur Dioxide (SO</t>
    </r>
    <r>
      <rPr>
        <vertAlign val="subscript"/>
        <sz val="11"/>
        <color theme="1"/>
        <rFont val="Arial"/>
        <family val="2"/>
      </rPr>
      <t>2</t>
    </r>
    <r>
      <rPr>
        <sz val="11"/>
        <color theme="1"/>
        <rFont val="Arial"/>
        <family val="2"/>
      </rPr>
      <t>)</t>
    </r>
  </si>
  <si>
    <r>
      <t>Oxides of Nitrogen, expressed as NO</t>
    </r>
    <r>
      <rPr>
        <vertAlign val="subscript"/>
        <sz val="11"/>
        <color theme="1"/>
        <rFont val="Arial"/>
        <family val="2"/>
      </rPr>
      <t>2</t>
    </r>
    <r>
      <rPr>
        <sz val="11"/>
        <color theme="1"/>
        <rFont val="Arial"/>
        <family val="2"/>
      </rPr>
      <t xml:space="preserve"> (NO</t>
    </r>
    <r>
      <rPr>
        <vertAlign val="subscript"/>
        <sz val="11"/>
        <color theme="1"/>
        <rFont val="Arial"/>
        <family val="2"/>
      </rPr>
      <t>X</t>
    </r>
    <r>
      <rPr>
        <sz val="11"/>
        <color theme="1"/>
        <rFont val="Arial"/>
        <family val="2"/>
      </rPr>
      <t>)</t>
    </r>
  </si>
  <si>
    <r>
      <t>Particulate Matter less than or equal to 10 µm (PM</t>
    </r>
    <r>
      <rPr>
        <vertAlign val="subscript"/>
        <sz val="11"/>
        <rFont val="Arial"/>
        <family val="2"/>
      </rPr>
      <t>10</t>
    </r>
    <r>
      <rPr>
        <sz val="11"/>
        <rFont val="Arial"/>
        <family val="2"/>
      </rPr>
      <t>)</t>
    </r>
  </si>
  <si>
    <r>
      <t>Particulate Matter less than or equal to 2.5 µm (PM</t>
    </r>
    <r>
      <rPr>
        <vertAlign val="subscript"/>
        <sz val="11"/>
        <rFont val="Arial"/>
        <family val="2"/>
      </rPr>
      <t>2.5</t>
    </r>
    <r>
      <rPr>
        <sz val="11"/>
        <rFont val="Arial"/>
        <family val="2"/>
      </rPr>
      <t>)</t>
    </r>
  </si>
  <si>
    <r>
      <t>General Emission Factor - Residual (lb/10</t>
    </r>
    <r>
      <rPr>
        <vertAlign val="superscript"/>
        <sz val="11"/>
        <color theme="0"/>
        <rFont val="Arial"/>
        <family val="2"/>
      </rPr>
      <t>3</t>
    </r>
    <r>
      <rPr>
        <sz val="11"/>
        <color theme="0"/>
        <rFont val="Arial"/>
        <family val="2"/>
      </rPr>
      <t xml:space="preserve"> US gal)</t>
    </r>
  </si>
  <si>
    <r>
      <t>SO</t>
    </r>
    <r>
      <rPr>
        <vertAlign val="subscript"/>
        <sz val="11"/>
        <color theme="1"/>
        <rFont val="Arial"/>
        <family val="2"/>
      </rPr>
      <t>2</t>
    </r>
  </si>
  <si>
    <r>
      <t>NO</t>
    </r>
    <r>
      <rPr>
        <vertAlign val="subscript"/>
        <sz val="11"/>
        <color theme="1"/>
        <rFont val="Arial"/>
        <family val="2"/>
      </rPr>
      <t>X</t>
    </r>
  </si>
  <si>
    <r>
      <t>Matrix of Type of Boiler, Grade and Emission Factor (PM</t>
    </r>
    <r>
      <rPr>
        <vertAlign val="subscript"/>
        <sz val="11"/>
        <color theme="1"/>
        <rFont val="Arial"/>
        <family val="2"/>
      </rPr>
      <t>10</t>
    </r>
    <r>
      <rPr>
        <sz val="11"/>
        <color theme="1"/>
        <rFont val="Arial"/>
        <family val="2"/>
      </rPr>
      <t>, PM</t>
    </r>
    <r>
      <rPr>
        <vertAlign val="subscript"/>
        <sz val="11"/>
        <color theme="1"/>
        <rFont val="Arial"/>
        <family val="2"/>
      </rPr>
      <t>2.5</t>
    </r>
    <r>
      <rPr>
        <sz val="11"/>
        <color theme="1"/>
        <rFont val="Arial"/>
        <family val="2"/>
      </rPr>
      <t>, VOCs)</t>
    </r>
  </si>
  <si>
    <r>
      <t>PM</t>
    </r>
    <r>
      <rPr>
        <b/>
        <vertAlign val="subscript"/>
        <sz val="11"/>
        <color theme="0"/>
        <rFont val="Arial"/>
        <family val="2"/>
      </rPr>
      <t>10</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</si>
  <si>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PM</t>
    </r>
    <r>
      <rPr>
        <b/>
        <vertAlign val="subscript"/>
        <sz val="11"/>
        <color theme="0"/>
        <rFont val="Arial"/>
        <family val="2"/>
      </rPr>
      <t>2.5</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</si>
  <si>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VOCs Emission Factor  (lb/10</t>
    </r>
    <r>
      <rPr>
        <b/>
        <vertAlign val="superscript"/>
        <sz val="11"/>
        <color theme="0"/>
        <rFont val="Arial"/>
        <family val="2"/>
      </rPr>
      <t>3</t>
    </r>
    <r>
      <rPr>
        <b/>
        <sz val="11"/>
        <color theme="0"/>
        <rFont val="Arial"/>
        <family val="2"/>
      </rPr>
      <t xml:space="preserve"> US gal)</t>
    </r>
  </si>
  <si>
    <r>
      <t>Reference for SO</t>
    </r>
    <r>
      <rPr>
        <vertAlign val="subscript"/>
        <sz val="11"/>
        <rFont val="Arial"/>
        <family val="2"/>
      </rPr>
      <t>2</t>
    </r>
    <r>
      <rPr>
        <sz val="11"/>
        <rFont val="Arial"/>
        <family val="2"/>
      </rPr>
      <t>, CO, NO</t>
    </r>
    <r>
      <rPr>
        <vertAlign val="subscript"/>
        <sz val="11"/>
        <rFont val="Arial"/>
        <family val="2"/>
      </rPr>
      <t>X</t>
    </r>
    <r>
      <rPr>
        <sz val="11"/>
        <rFont val="Arial"/>
        <family val="2"/>
      </rPr>
      <t>, TPM: AP-42 Table 1.3-1</t>
    </r>
  </si>
  <si>
    <r>
      <t>lb/10</t>
    </r>
    <r>
      <rPr>
        <vertAlign val="superscript"/>
        <sz val="11"/>
        <color theme="1"/>
        <rFont val="Arial"/>
        <family val="2"/>
      </rPr>
      <t>12</t>
    </r>
    <r>
      <rPr>
        <sz val="11"/>
        <color theme="1"/>
        <rFont val="Arial"/>
        <family val="2"/>
      </rPr>
      <t xml:space="preserve"> BTU</t>
    </r>
  </si>
  <si>
    <r>
      <t>GJ/m</t>
    </r>
    <r>
      <rPr>
        <vertAlign val="superscript"/>
        <sz val="11"/>
        <color theme="1"/>
        <rFont val="Arial"/>
        <family val="2"/>
      </rPr>
      <t>3</t>
    </r>
  </si>
  <si>
    <r>
      <t>Matrix of Type of Boiler Type and Emission Factor (PM</t>
    </r>
    <r>
      <rPr>
        <vertAlign val="subscript"/>
        <sz val="11"/>
        <color theme="1"/>
        <rFont val="Arial"/>
        <family val="2"/>
      </rPr>
      <t>10</t>
    </r>
    <r>
      <rPr>
        <sz val="11"/>
        <color theme="1"/>
        <rFont val="Arial"/>
        <family val="2"/>
      </rPr>
      <t>, PM</t>
    </r>
    <r>
      <rPr>
        <vertAlign val="subscript"/>
        <sz val="11"/>
        <color theme="1"/>
        <rFont val="Arial"/>
        <family val="2"/>
      </rPr>
      <t>2.5</t>
    </r>
    <r>
      <rPr>
        <sz val="11"/>
        <color theme="1"/>
        <rFont val="Arial"/>
        <family val="2"/>
      </rPr>
      <t>, VOCs)</t>
    </r>
  </si>
  <si>
    <r>
      <t>PM</t>
    </r>
    <r>
      <rPr>
        <b/>
        <vertAlign val="subscript"/>
        <sz val="11"/>
        <color theme="0"/>
        <rFont val="Arial"/>
        <family val="2"/>
      </rPr>
      <t>10</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</si>
  <si>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PM</t>
    </r>
    <r>
      <rPr>
        <b/>
        <vertAlign val="subscript"/>
        <sz val="11"/>
        <color theme="0"/>
        <rFont val="Arial"/>
        <family val="2"/>
      </rPr>
      <t>2.5</t>
    </r>
    <r>
      <rPr>
        <b/>
        <sz val="11"/>
        <color theme="0"/>
        <rFont val="Arial"/>
        <family val="2"/>
      </rPr>
      <t xml:space="preserve"> Emission Factor (lb/103 US gal)</t>
    </r>
  </si>
  <si>
    <r>
      <t>VOCs Emission Factor (lb/10</t>
    </r>
    <r>
      <rPr>
        <b/>
        <vertAlign val="superscript"/>
        <sz val="11"/>
        <color theme="0"/>
        <rFont val="Arial"/>
        <family val="2"/>
      </rPr>
      <t>3</t>
    </r>
    <r>
      <rPr>
        <b/>
        <sz val="11"/>
        <color theme="0"/>
        <rFont val="Arial"/>
        <family val="2"/>
      </rPr>
      <t xml:space="preserve"> US gal)</t>
    </r>
  </si>
  <si>
    <t>NPRI Substance Releases based on Site-Specific Emission Factors</t>
  </si>
  <si>
    <t>Activity Rate Unit</t>
  </si>
  <si>
    <t>This spreadsheet was designed to assist with estimating the releases of NPRI substances from the combustion of fuel oil in boilers and heaters. All NPRI substances, where emission factors are available, are considered in this activity. 
The calculator is not applicable if you use waste oil at your facility.</t>
  </si>
  <si>
    <t>Acenaphthylene</t>
  </si>
  <si>
    <t>Distillate</t>
  </si>
  <si>
    <t xml:space="preserve">The spreadsheet uses a default Heating Value of 39.0 for Fuel Oil. This value may be changed if a site specific value is available. </t>
  </si>
  <si>
    <t>September</t>
  </si>
  <si>
    <t xml:space="preserve">Sulphur content is in percentage by weight. For 1%, enter “1”.  
If sulphur content is unavailable, select a region and fuel type to use default sulphur content.  </t>
  </si>
  <si>
    <t>Emission Factor (EF)</t>
  </si>
  <si>
    <t>EF Units</t>
  </si>
  <si>
    <t xml:space="preserve">For the description of the EF ratings, refer to the NPRI website under NPRI Toolbox. </t>
  </si>
  <si>
    <t>NPRI  Part</t>
  </si>
  <si>
    <t>(If you choose to insert your own emission factor ensure that the units have been converted accordingly.)</t>
  </si>
  <si>
    <t>Emission Factor 
for Master Table</t>
  </si>
  <si>
    <t>HHV - from Input</t>
  </si>
  <si>
    <t>Reference: AP-42 Table 1.3-6 for Industrial</t>
  </si>
  <si>
    <t xml:space="preserve">The same value was considered for utility and industrial boilers that use distillate fuel oil.  </t>
  </si>
  <si>
    <t xml:space="preserve">If the facility has Continuous Emissions Monitoring System (CEMS) installed on the boiler/heater exhaust, a manufacturer's guarantee on air contaminant emissions, or other site-specific emissions data, this data should be preferentially used for NPRI reporting. </t>
  </si>
  <si>
    <t xml:space="preserve">The "NPRI List (2019)", is based on the published list of substances for the NPRI for 2019. It may need to be updated based on annual updates made to the NPRI substance list. </t>
  </si>
  <si>
    <t>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</si>
</sst>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000000%"/>
    <numFmt numFmtId="168" formatCode="0.000"/>
    <numFmt numFmtId="169" formatCode="0.000E+00"/>
    <numFmt numFmtId="170" formatCode="0.00000"/>
  </numFmts>
  <fonts count="51">
    <font>
      <sz val="11"/>
      <color theme="1"/>
      <name val="Calibri"/>
      <family val="2"/>
      <scheme val="minor"/>
    </font>
    <font>
      <sz val="11"/>
      <color theme="1"/>
      <name val="Calibri"/>
      <family val="2"/>
      <scheme val="minor"/>
    </font>
    <font>
      <sz val="11"/>
      <color theme="1"/>
      <name val="Segoe UI"/>
      <family val="2"/>
    </font>
    <font>
      <sz val="10"/>
      <name val="Arial"/>
      <family val="2"/>
    </font>
    <font>
      <sz val="10"/>
      <name val="Segoe UI"/>
      <family val="2"/>
    </font>
    <font>
      <sz val="12"/>
      <color theme="1"/>
      <name val="Arial"/>
      <family val="2"/>
    </font>
    <font>
      <sz val="12"/>
      <color theme="1"/>
      <name val="Segoe UI"/>
      <family val="2"/>
    </font>
    <font>
      <b/>
      <sz val="9"/>
      <name val="Segoe UI"/>
      <family val="2"/>
    </font>
    <font>
      <b/>
      <vertAlign val="superscript"/>
      <sz val="9"/>
      <name val="Segoe UI"/>
      <family val="2"/>
    </font>
    <font>
      <sz val="10"/>
      <color indexed="8"/>
      <name val="Arial"/>
      <family val="2"/>
    </font>
    <font>
      <i/>
      <sz val="10"/>
      <name val="Segoe UI"/>
      <family val="2"/>
    </font>
    <font>
      <sz val="10"/>
      <color theme="1"/>
      <name val="Arial   "/>
    </font>
    <font>
      <sz val="10"/>
      <color theme="0"/>
      <name val="Arial   "/>
    </font>
    <font>
      <b/>
      <sz val="10"/>
      <color theme="1"/>
      <name val="Arial   "/>
    </font>
    <font>
      <sz val="10"/>
      <name val="Arial   "/>
    </font>
    <font>
      <b/>
      <sz val="10"/>
      <name val="Arial   "/>
    </font>
    <font>
      <vertAlign val="superscript"/>
      <sz val="10"/>
      <name val="Arial   "/>
    </font>
    <font>
      <b/>
      <vertAlign val="superscript"/>
      <sz val="10"/>
      <name val="Arial   "/>
    </font>
    <font>
      <b/>
      <i/>
      <sz val="10"/>
      <color theme="1"/>
      <name val="Arial   "/>
    </font>
    <font>
      <b/>
      <i/>
      <vertAlign val="subscript"/>
      <sz val="10"/>
      <color theme="1"/>
      <name val="Arial   "/>
    </font>
    <font>
      <b/>
      <u/>
      <sz val="10"/>
      <color theme="1"/>
      <name val="Arial   "/>
    </font>
    <font>
      <sz val="10"/>
      <name val="Arial"/>
      <family val="2"/>
    </font>
    <font>
      <b/>
      <sz val="10"/>
      <name val="Arial"/>
      <family val="2"/>
    </font>
    <font>
      <b/>
      <u/>
      <sz val="10"/>
      <name val="Arial"/>
      <family val="2"/>
    </font>
    <font>
      <b/>
      <sz val="10"/>
      <color indexed="10"/>
      <name val="Arial"/>
      <family val="2"/>
    </font>
    <font>
      <sz val="10"/>
      <color indexed="17"/>
      <name val="Arial"/>
      <family val="2"/>
    </font>
    <font>
      <b/>
      <u/>
      <sz val="14"/>
      <name val="Arial"/>
      <family val="2"/>
    </font>
    <font>
      <sz val="10"/>
      <color theme="1"/>
      <name val="Arial"/>
      <family val="2"/>
    </font>
    <font>
      <vertAlign val="superscript"/>
      <sz val="10"/>
      <color theme="1"/>
      <name val="Arial"/>
      <family val="2"/>
    </font>
    <font>
      <sz val="8"/>
      <name val="Calibri"/>
      <family val="2"/>
      <scheme val="minor"/>
    </font>
    <font>
      <sz val="10"/>
      <name val="Arial "/>
    </font>
    <font>
      <sz val="10"/>
      <color theme="1"/>
      <name val="Arial "/>
    </font>
    <font>
      <vertAlign val="superscript"/>
      <sz val="10"/>
      <color theme="1"/>
      <name val="Arial "/>
    </font>
    <font>
      <b/>
      <sz val="10"/>
      <name val="Arial "/>
    </font>
    <font>
      <b/>
      <sz val="11"/>
      <color rgb="FFFF0000"/>
      <name val="Arial"/>
      <family val="2"/>
    </font>
    <font>
      <sz val="11"/>
      <color theme="1"/>
      <name val="Arial"/>
      <family val="2"/>
    </font>
    <font>
      <vertAlign val="subscript"/>
      <sz val="10"/>
      <color theme="1"/>
      <name val="Arial"/>
      <family val="2"/>
    </font>
    <font>
      <vertAlign val="subscript"/>
      <sz val="10"/>
      <color theme="1"/>
      <name val="Arial "/>
    </font>
    <font>
      <vertAlign val="subscript"/>
      <sz val="10"/>
      <name val="Arial "/>
    </font>
    <font>
      <vertAlign val="subscript"/>
      <sz val="10"/>
      <name val="Arial"/>
      <family val="2"/>
    </font>
    <font>
      <b/>
      <sz val="16"/>
      <color rgb="FF7030A0"/>
      <name val="Arial"/>
      <family val="2"/>
    </font>
    <font>
      <b/>
      <sz val="11"/>
      <color theme="1"/>
      <name val="Arial"/>
      <family val="2"/>
    </font>
    <font>
      <vertAlign val="superscript"/>
      <sz val="11"/>
      <color theme="1"/>
      <name val="Arial"/>
      <family val="2"/>
    </font>
    <font>
      <vertAlign val="subscript"/>
      <sz val="11"/>
      <color theme="1"/>
      <name val="Arial"/>
      <family val="2"/>
    </font>
    <font>
      <sz val="11"/>
      <name val="Arial"/>
      <family val="2"/>
    </font>
    <font>
      <vertAlign val="subscript"/>
      <sz val="11"/>
      <name val="Arial"/>
      <family val="2"/>
    </font>
    <font>
      <sz val="11"/>
      <color theme="0"/>
      <name val="Arial"/>
      <family val="2"/>
    </font>
    <font>
      <vertAlign val="superscript"/>
      <sz val="11"/>
      <color theme="0"/>
      <name val="Arial"/>
      <family val="2"/>
    </font>
    <font>
      <b/>
      <sz val="11"/>
      <color theme="0"/>
      <name val="Arial"/>
      <family val="2"/>
    </font>
    <font>
      <b/>
      <vertAlign val="subscript"/>
      <sz val="11"/>
      <color theme="0"/>
      <name val="Arial"/>
      <family val="2"/>
    </font>
    <font>
      <b/>
      <vertAlign val="superscript"/>
      <sz val="11"/>
      <color theme="0"/>
      <name val="Arial"/>
      <family val="2"/>
    </font>
  </fonts>
  <fills count="2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
      <patternFill patternType="solid">
        <fgColor theme="6" tint="0.79998168889431442"/>
        <bgColor indexed="64"/>
      </patternFill>
    </fill>
    <fill>
      <patternFill patternType="solid">
        <fgColor indexed="47"/>
        <bgColor indexed="64"/>
      </patternFill>
    </fill>
    <fill>
      <patternFill patternType="solid">
        <fgColor theme="0" tint="-4.9989318521683403E-2"/>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bgColor indexed="64"/>
      </patternFill>
    </fill>
    <fill>
      <patternFill patternType="solid">
        <fgColor theme="1"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5" fillId="0" borderId="0"/>
    <xf numFmtId="0" fontId="9" fillId="0" borderId="0"/>
    <xf numFmtId="0" fontId="21" fillId="0" borderId="0"/>
  </cellStyleXfs>
  <cellXfs count="347">
    <xf numFmtId="0" fontId="0" fillId="0" borderId="0" xfId="0"/>
    <xf numFmtId="0" fontId="6" fillId="0" borderId="0" xfId="3" applyFont="1" applyAlignment="1">
      <alignment horizontal="center"/>
    </xf>
    <xf numFmtId="0" fontId="2" fillId="0" borderId="0" xfId="0" applyFont="1"/>
    <xf numFmtId="0" fontId="7" fillId="6" borderId="1" xfId="2" applyFont="1" applyFill="1" applyBorder="1" applyAlignment="1">
      <alignment wrapText="1"/>
    </xf>
    <xf numFmtId="0" fontId="7" fillId="6" borderId="1" xfId="2" applyFont="1" applyFill="1" applyBorder="1" applyAlignment="1">
      <alignment horizontal="center" wrapText="1"/>
    </xf>
    <xf numFmtId="0" fontId="7" fillId="6" borderId="1" xfId="4" applyFont="1" applyFill="1" applyBorder="1" applyAlignment="1">
      <alignment wrapText="1"/>
    </xf>
    <xf numFmtId="49" fontId="4" fillId="0" borderId="1" xfId="2" applyNumberFormat="1" applyFont="1" applyBorder="1" applyAlignment="1">
      <alignment horizontal="left" vertical="center" wrapText="1"/>
    </xf>
    <xf numFmtId="0" fontId="10" fillId="0" borderId="4" xfId="2" applyFont="1" applyFill="1" applyBorder="1" applyAlignment="1">
      <alignment horizontal="right" vertical="center"/>
    </xf>
    <xf numFmtId="0" fontId="4" fillId="0" borderId="4" xfId="2"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6" xfId="4" applyFont="1" applyFill="1" applyBorder="1" applyAlignment="1">
      <alignment horizontal="center" vertical="center"/>
    </xf>
    <xf numFmtId="0" fontId="4" fillId="2" borderId="1" xfId="2" applyFont="1" applyFill="1" applyBorder="1" applyAlignment="1">
      <alignment horizontal="center" vertical="center"/>
    </xf>
    <xf numFmtId="9" fontId="4" fillId="2" borderId="1" xfId="2"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4" xfId="2" applyFont="1" applyFill="1" applyBorder="1" applyAlignment="1">
      <alignment horizontal="right" vertical="center"/>
    </xf>
    <xf numFmtId="0" fontId="4" fillId="0" borderId="1" xfId="4" applyFont="1" applyFill="1" applyBorder="1" applyAlignment="1">
      <alignment vertical="center"/>
    </xf>
    <xf numFmtId="0" fontId="4" fillId="0" borderId="4" xfId="4" applyFont="1" applyFill="1" applyBorder="1" applyAlignment="1"/>
    <xf numFmtId="1" fontId="4" fillId="0" borderId="6" xfId="4" applyNumberFormat="1" applyFont="1" applyFill="1" applyBorder="1" applyAlignment="1">
      <alignment horizontal="center" vertical="center"/>
    </xf>
    <xf numFmtId="0" fontId="4" fillId="2" borderId="1" xfId="4" applyFont="1" applyFill="1" applyBorder="1" applyAlignment="1">
      <alignment horizontal="center" vertical="center"/>
    </xf>
    <xf numFmtId="0" fontId="10" fillId="0" borderId="4" xfId="2" applyFont="1" applyFill="1" applyBorder="1" applyAlignment="1">
      <alignment horizontal="left" vertical="center" wrapText="1"/>
    </xf>
    <xf numFmtId="0" fontId="4" fillId="0" borderId="4" xfId="2" applyFont="1" applyBorder="1" applyAlignment="1">
      <alignment horizontal="left" vertical="center" wrapText="1"/>
    </xf>
    <xf numFmtId="0" fontId="4" fillId="0" borderId="1" xfId="2" applyFont="1" applyBorder="1" applyAlignment="1">
      <alignment horizontal="center" vertical="center" wrapText="1"/>
    </xf>
    <xf numFmtId="165" fontId="4" fillId="0" borderId="1" xfId="2" applyNumberFormat="1" applyFont="1" applyBorder="1" applyAlignment="1">
      <alignment horizontal="center" vertical="center" wrapText="1"/>
    </xf>
    <xf numFmtId="0" fontId="4" fillId="0" borderId="1" xfId="2" applyFont="1" applyBorder="1" applyAlignment="1">
      <alignment horizontal="center"/>
    </xf>
    <xf numFmtId="49" fontId="4" fillId="0" borderId="2" xfId="2" applyNumberFormat="1" applyFont="1" applyBorder="1" applyAlignment="1">
      <alignment horizontal="left" vertical="center" wrapText="1"/>
    </xf>
    <xf numFmtId="0" fontId="4" fillId="0" borderId="10" xfId="2" applyFont="1" applyFill="1" applyBorder="1" applyAlignment="1">
      <alignment horizontal="left" vertical="center" wrapText="1"/>
    </xf>
    <xf numFmtId="0" fontId="4" fillId="0" borderId="11" xfId="4" applyFont="1" applyFill="1" applyBorder="1" applyAlignment="1">
      <alignment horizontal="center" vertical="center"/>
    </xf>
    <xf numFmtId="9" fontId="4" fillId="2" borderId="2" xfId="2" applyNumberFormat="1" applyFont="1" applyFill="1" applyBorder="1" applyAlignment="1">
      <alignment horizontal="center" vertical="center"/>
    </xf>
    <xf numFmtId="0" fontId="4" fillId="0" borderId="1" xfId="2" applyFont="1" applyFill="1" applyBorder="1" applyAlignment="1">
      <alignment horizontal="left" vertical="center" wrapText="1"/>
    </xf>
    <xf numFmtId="0" fontId="4" fillId="0" borderId="1" xfId="4" applyFont="1" applyFill="1" applyBorder="1" applyAlignment="1"/>
    <xf numFmtId="1" fontId="4" fillId="0" borderId="1" xfId="4" applyNumberFormat="1" applyFont="1" applyFill="1" applyBorder="1" applyAlignment="1">
      <alignment horizontal="center" vertical="center"/>
    </xf>
    <xf numFmtId="0" fontId="4" fillId="0" borderId="2" xfId="2" applyFont="1" applyBorder="1" applyAlignment="1">
      <alignment horizontal="left" vertical="center" wrapText="1"/>
    </xf>
    <xf numFmtId="0" fontId="4" fillId="0" borderId="12" xfId="4" applyFont="1" applyFill="1" applyBorder="1" applyAlignment="1">
      <alignment horizontal="center" vertical="center"/>
    </xf>
    <xf numFmtId="0" fontId="4" fillId="0" borderId="10" xfId="2" applyFont="1" applyFill="1" applyBorder="1" applyAlignment="1">
      <alignment horizontal="right" vertical="center"/>
    </xf>
    <xf numFmtId="0" fontId="4" fillId="0" borderId="1" xfId="2" applyFont="1" applyFill="1" applyBorder="1" applyAlignment="1">
      <alignment horizontal="right" vertical="center"/>
    </xf>
    <xf numFmtId="9" fontId="4" fillId="0" borderId="1" xfId="2" applyNumberFormat="1" applyFont="1" applyBorder="1" applyAlignment="1">
      <alignment horizontal="center" vertical="center" wrapText="1"/>
    </xf>
    <xf numFmtId="0" fontId="10" fillId="0" borderId="1" xfId="2" applyFont="1" applyFill="1" applyBorder="1" applyAlignment="1">
      <alignment horizontal="right" vertical="center"/>
    </xf>
    <xf numFmtId="49" fontId="4" fillId="0" borderId="1" xfId="4" applyNumberFormat="1" applyFont="1" applyFill="1" applyBorder="1" applyAlignment="1">
      <alignment vertical="center"/>
    </xf>
    <xf numFmtId="0" fontId="4" fillId="0" borderId="0" xfId="4" applyFont="1" applyFill="1" applyBorder="1" applyAlignment="1">
      <alignment horizontal="center" vertical="center"/>
    </xf>
    <xf numFmtId="49" fontId="4" fillId="0" borderId="1" xfId="2" quotePrefix="1" applyNumberFormat="1" applyFont="1" applyFill="1" applyBorder="1" applyAlignment="1">
      <alignment horizontal="left" vertical="center" wrapText="1"/>
    </xf>
    <xf numFmtId="49" fontId="4" fillId="0" borderId="1" xfId="2" quotePrefix="1" applyNumberFormat="1" applyFont="1" applyBorder="1" applyAlignment="1">
      <alignment horizontal="left" vertical="center" wrapText="1"/>
    </xf>
    <xf numFmtId="167" fontId="4" fillId="0" borderId="1" xfId="2" applyNumberFormat="1" applyFont="1" applyBorder="1" applyAlignment="1">
      <alignment horizontal="center" vertical="center" wrapText="1"/>
    </xf>
    <xf numFmtId="0" fontId="6" fillId="0" borderId="0" xfId="3" applyFont="1"/>
    <xf numFmtId="0" fontId="11" fillId="2" borderId="0" xfId="0" applyFont="1" applyFill="1"/>
    <xf numFmtId="0" fontId="12" fillId="2" borderId="0" xfId="0" applyFont="1" applyFill="1"/>
    <xf numFmtId="0" fontId="14" fillId="2" borderId="0" xfId="0" applyFont="1" applyFill="1" applyBorder="1"/>
    <xf numFmtId="0" fontId="11" fillId="2" borderId="0" xfId="0" applyFont="1" applyFill="1" applyBorder="1"/>
    <xf numFmtId="0" fontId="12" fillId="2" borderId="0" xfId="0" applyFont="1" applyFill="1" applyAlignment="1">
      <alignment horizontal="right"/>
    </xf>
    <xf numFmtId="0" fontId="13" fillId="2" borderId="0" xfId="0" applyFont="1" applyFill="1" applyBorder="1"/>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5" fillId="2" borderId="1" xfId="0" applyFont="1" applyFill="1" applyBorder="1" applyAlignment="1">
      <alignment horizontal="center" vertical="center"/>
    </xf>
    <xf numFmtId="166" fontId="14" fillId="2" borderId="2" xfId="0" applyNumberFormat="1" applyFont="1" applyFill="1" applyBorder="1" applyAlignment="1">
      <alignment horizontal="center" vertical="center"/>
    </xf>
    <xf numFmtId="0" fontId="15" fillId="2" borderId="4" xfId="0" applyFont="1" applyFill="1" applyBorder="1" applyAlignment="1">
      <alignment vertical="center"/>
    </xf>
    <xf numFmtId="0" fontId="11" fillId="2" borderId="0" xfId="0" applyFont="1" applyFill="1" applyBorder="1" applyAlignment="1" applyProtection="1">
      <protection locked="0"/>
    </xf>
    <xf numFmtId="0" fontId="14" fillId="2" borderId="0" xfId="0" applyFont="1" applyFill="1" applyBorder="1" applyAlignment="1">
      <alignment horizontal="left" vertical="center"/>
    </xf>
    <xf numFmtId="0" fontId="11" fillId="2" borderId="0" xfId="0" applyFont="1" applyFill="1" applyBorder="1" applyAlignment="1" applyProtection="1">
      <alignment horizontal="center"/>
      <protection locked="0"/>
    </xf>
    <xf numFmtId="0" fontId="12" fillId="2" borderId="0" xfId="0" applyFont="1" applyFill="1" applyBorder="1"/>
    <xf numFmtId="0" fontId="14" fillId="2" borderId="1" xfId="0" applyFont="1" applyFill="1" applyBorder="1" applyAlignment="1">
      <alignment vertical="center"/>
    </xf>
    <xf numFmtId="0" fontId="12" fillId="2" borderId="0" xfId="0" applyFont="1" applyFill="1" applyAlignment="1">
      <alignment horizontal="center" vertical="center"/>
    </xf>
    <xf numFmtId="0" fontId="18" fillId="2" borderId="0" xfId="0" applyFont="1" applyFill="1" applyBorder="1"/>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3" fillId="18" borderId="0" xfId="0" applyFont="1" applyFill="1" applyAlignment="1"/>
    <xf numFmtId="0" fontId="13" fillId="2" borderId="6" xfId="0" applyFont="1" applyFill="1" applyBorder="1" applyAlignment="1">
      <alignment horizontal="center" vertical="center"/>
    </xf>
    <xf numFmtId="0" fontId="13" fillId="2" borderId="1" xfId="0" applyFont="1" applyFill="1" applyBorder="1" applyAlignment="1">
      <alignment horizontal="center" vertical="center"/>
    </xf>
    <xf numFmtId="0" fontId="11" fillId="2" borderId="10" xfId="0" applyFont="1" applyFill="1" applyBorder="1" applyAlignment="1"/>
    <xf numFmtId="0" fontId="11" fillId="2" borderId="7" xfId="0" applyFont="1" applyFill="1" applyBorder="1" applyAlignment="1"/>
    <xf numFmtId="0" fontId="11" fillId="2" borderId="11" xfId="0" applyFont="1" applyFill="1" applyBorder="1" applyAlignment="1"/>
    <xf numFmtId="0" fontId="11" fillId="2" borderId="6" xfId="0" applyFont="1" applyFill="1" applyBorder="1" applyAlignment="1">
      <alignment horizontal="center"/>
    </xf>
    <xf numFmtId="0" fontId="11" fillId="2" borderId="1" xfId="0" applyFont="1" applyFill="1" applyBorder="1" applyAlignment="1">
      <alignment horizontal="center"/>
    </xf>
    <xf numFmtId="1" fontId="11" fillId="2" borderId="6" xfId="0" applyNumberFormat="1" applyFont="1" applyFill="1" applyBorder="1" applyAlignment="1">
      <alignment horizontal="center"/>
    </xf>
    <xf numFmtId="1" fontId="11" fillId="2" borderId="11" xfId="0" applyNumberFormat="1" applyFont="1" applyFill="1" applyBorder="1" applyAlignment="1">
      <alignment horizontal="center"/>
    </xf>
    <xf numFmtId="0" fontId="11" fillId="2" borderId="4" xfId="0" applyFont="1" applyFill="1" applyBorder="1" applyAlignment="1"/>
    <xf numFmtId="0" fontId="11" fillId="2" borderId="5" xfId="0" applyFont="1" applyFill="1" applyBorder="1" applyAlignment="1"/>
    <xf numFmtId="0" fontId="11" fillId="2" borderId="6" xfId="0" applyFont="1" applyFill="1" applyBorder="1" applyAlignment="1"/>
    <xf numFmtId="0" fontId="11" fillId="2" borderId="0" xfId="0" applyFont="1" applyFill="1" applyBorder="1" applyAlignment="1">
      <alignment horizontal="left"/>
    </xf>
    <xf numFmtId="1" fontId="11" fillId="2" borderId="0" xfId="0" applyNumberFormat="1" applyFont="1" applyFill="1" applyBorder="1"/>
    <xf numFmtId="1" fontId="11" fillId="2" borderId="12" xfId="0" applyNumberFormat="1" applyFont="1" applyFill="1" applyBorder="1" applyAlignment="1">
      <alignment horizontal="center"/>
    </xf>
    <xf numFmtId="0" fontId="11" fillId="2" borderId="8" xfId="0" applyFont="1" applyFill="1" applyBorder="1" applyAlignment="1"/>
    <xf numFmtId="0" fontId="11" fillId="18" borderId="0" xfId="0" applyFont="1" applyFill="1"/>
    <xf numFmtId="0" fontId="11" fillId="18" borderId="1" xfId="0" applyFont="1" applyFill="1" applyBorder="1"/>
    <xf numFmtId="0" fontId="20" fillId="2" borderId="0" xfId="0" applyFont="1" applyFill="1" applyAlignment="1">
      <alignment horizontal="center"/>
    </xf>
    <xf numFmtId="164" fontId="11" fillId="18" borderId="1" xfId="0" applyNumberFormat="1" applyFont="1" applyFill="1" applyBorder="1" applyAlignment="1" applyProtection="1">
      <alignment horizontal="center" vertical="center"/>
      <protection locked="0"/>
    </xf>
    <xf numFmtId="164" fontId="11" fillId="18" borderId="2" xfId="0" applyNumberFormat="1" applyFont="1" applyFill="1" applyBorder="1" applyAlignment="1" applyProtection="1">
      <alignment horizontal="center" vertical="center"/>
      <protection locked="0"/>
    </xf>
    <xf numFmtId="0" fontId="14" fillId="2" borderId="9" xfId="0" applyFont="1" applyFill="1" applyBorder="1"/>
    <xf numFmtId="0" fontId="11" fillId="2" borderId="2" xfId="0" applyFont="1" applyFill="1" applyBorder="1" applyAlignment="1" applyProtection="1">
      <alignment horizontal="center" vertical="center"/>
    </xf>
    <xf numFmtId="164" fontId="15" fillId="2" borderId="1" xfId="0" applyNumberFormat="1" applyFont="1" applyFill="1" applyBorder="1" applyAlignment="1" applyProtection="1">
      <alignment horizontal="center" vertical="center"/>
    </xf>
    <xf numFmtId="0" fontId="14" fillId="2" borderId="4" xfId="0" applyFont="1" applyFill="1" applyBorder="1" applyAlignment="1">
      <alignment vertical="center"/>
    </xf>
    <xf numFmtId="0" fontId="14" fillId="2" borderId="6" xfId="0" applyFont="1" applyFill="1" applyBorder="1" applyAlignment="1">
      <alignment vertical="center"/>
    </xf>
    <xf numFmtId="166" fontId="11" fillId="2" borderId="1" xfId="0" applyNumberFormat="1" applyFont="1" applyFill="1" applyBorder="1" applyAlignment="1">
      <alignment horizontal="center"/>
    </xf>
    <xf numFmtId="0" fontId="11" fillId="2" borderId="0" xfId="0" applyFont="1" applyFill="1" applyBorder="1" applyAlignment="1">
      <alignment horizontal="center"/>
    </xf>
    <xf numFmtId="166" fontId="15" fillId="2" borderId="1" xfId="0" applyNumberFormat="1" applyFont="1" applyFill="1" applyBorder="1" applyAlignment="1">
      <alignment horizontal="center" vertical="center"/>
    </xf>
    <xf numFmtId="0" fontId="22" fillId="19" borderId="1" xfId="0" applyFont="1" applyFill="1" applyBorder="1"/>
    <xf numFmtId="0" fontId="3" fillId="0" borderId="1" xfId="0" applyFont="1" applyBorder="1" applyAlignment="1" applyProtection="1">
      <alignment horizontal="center"/>
    </xf>
    <xf numFmtId="0" fontId="22" fillId="19" borderId="1" xfId="0" applyFont="1" applyFill="1" applyBorder="1" applyAlignment="1" applyProtection="1">
      <alignment horizontal="center" vertical="center"/>
    </xf>
    <xf numFmtId="9" fontId="11" fillId="2" borderId="6" xfId="1" applyNumberFormat="1" applyFont="1" applyFill="1" applyBorder="1" applyAlignment="1">
      <alignment horizontal="center" vertical="center"/>
    </xf>
    <xf numFmtId="0" fontId="14" fillId="2" borderId="0" xfId="0" applyFont="1" applyFill="1"/>
    <xf numFmtId="0" fontId="14" fillId="2" borderId="18" xfId="0" applyFont="1" applyFill="1" applyBorder="1"/>
    <xf numFmtId="0" fontId="14" fillId="0" borderId="1" xfId="0" applyFont="1" applyBorder="1" applyAlignment="1">
      <alignment horizontal="center" vertical="center"/>
    </xf>
    <xf numFmtId="0" fontId="15" fillId="18" borderId="0" xfId="0" applyFont="1" applyFill="1" applyAlignment="1"/>
    <xf numFmtId="0" fontId="14" fillId="2" borderId="1" xfId="0" applyFont="1" applyFill="1" applyBorder="1" applyAlignment="1">
      <alignment horizontal="center"/>
    </xf>
    <xf numFmtId="1" fontId="14" fillId="2" borderId="1" xfId="0" applyNumberFormat="1" applyFont="1" applyFill="1" applyBorder="1" applyAlignment="1">
      <alignment horizontal="center"/>
    </xf>
    <xf numFmtId="1" fontId="14" fillId="2" borderId="0" xfId="0" applyNumberFormat="1" applyFont="1" applyFill="1" applyBorder="1"/>
    <xf numFmtId="0" fontId="14" fillId="2" borderId="1" xfId="0" applyFont="1" applyFill="1" applyBorder="1" applyAlignment="1">
      <alignment horizontal="center" vertical="center"/>
    </xf>
    <xf numFmtId="0" fontId="27" fillId="2" borderId="0" xfId="0" applyFont="1" applyFill="1"/>
    <xf numFmtId="0" fontId="27" fillId="0" borderId="1" xfId="0" applyFont="1" applyFill="1" applyBorder="1"/>
    <xf numFmtId="49" fontId="3" fillId="0" borderId="1" xfId="2" applyNumberFormat="1" applyFont="1" applyBorder="1" applyAlignment="1">
      <alignment horizontal="center" vertical="center" wrapText="1"/>
    </xf>
    <xf numFmtId="0" fontId="27" fillId="0" borderId="1" xfId="0" applyFont="1" applyBorder="1"/>
    <xf numFmtId="49" fontId="3" fillId="0" borderId="1" xfId="2" applyNumberFormat="1" applyFont="1" applyFill="1" applyBorder="1" applyAlignment="1">
      <alignment horizontal="center" vertical="center" wrapText="1"/>
    </xf>
    <xf numFmtId="0" fontId="27" fillId="2" borderId="0" xfId="0" applyFont="1" applyFill="1" applyBorder="1"/>
    <xf numFmtId="0" fontId="27" fillId="2" borderId="0" xfId="0" applyFont="1" applyFill="1" applyAlignment="1">
      <alignment horizontal="center"/>
    </xf>
    <xf numFmtId="0" fontId="3" fillId="2" borderId="0" xfId="0" applyFont="1" applyFill="1" applyProtection="1"/>
    <xf numFmtId="0" fontId="22" fillId="19" borderId="1" xfId="0" applyFont="1" applyFill="1" applyBorder="1" applyAlignment="1">
      <alignment horizontal="center" vertical="center"/>
    </xf>
    <xf numFmtId="11" fontId="3" fillId="0" borderId="1" xfId="2" applyNumberFormat="1" applyBorder="1" applyAlignment="1">
      <alignment horizontal="center" vertical="center" wrapText="1"/>
    </xf>
    <xf numFmtId="0" fontId="3" fillId="0" borderId="1" xfId="2" applyBorder="1" applyAlignment="1">
      <alignment horizontal="center" vertical="center" wrapText="1"/>
    </xf>
    <xf numFmtId="166" fontId="3" fillId="0" borderId="1" xfId="2" applyNumberFormat="1" applyBorder="1" applyAlignment="1">
      <alignment horizontal="center" vertical="center"/>
    </xf>
    <xf numFmtId="168" fontId="22" fillId="0" borderId="1" xfId="2" applyNumberFormat="1" applyFont="1" applyBorder="1" applyAlignment="1">
      <alignment horizontal="center" vertical="center" wrapText="1"/>
    </xf>
    <xf numFmtId="0" fontId="3" fillId="2" borderId="0" xfId="0" applyFont="1" applyFill="1"/>
    <xf numFmtId="49" fontId="3" fillId="2" borderId="0" xfId="2" applyNumberFormat="1" applyFill="1" applyAlignment="1">
      <alignment horizontal="center" vertical="center" wrapText="1"/>
    </xf>
    <xf numFmtId="49" fontId="3" fillId="0" borderId="0" xfId="2" applyNumberFormat="1" applyAlignment="1">
      <alignment horizontal="center" vertical="center" wrapText="1"/>
    </xf>
    <xf numFmtId="11" fontId="27" fillId="2" borderId="0" xfId="0" applyNumberFormat="1" applyFont="1" applyFill="1"/>
    <xf numFmtId="49" fontId="27" fillId="2" borderId="1" xfId="0" applyNumberFormat="1" applyFont="1" applyFill="1" applyBorder="1" applyAlignment="1">
      <alignment horizontal="center" vertical="center"/>
    </xf>
    <xf numFmtId="0" fontId="3" fillId="0" borderId="1" xfId="2" applyNumberFormat="1" applyBorder="1" applyAlignment="1">
      <alignment horizontal="center" vertical="center" wrapText="1"/>
    </xf>
    <xf numFmtId="0" fontId="27" fillId="0" borderId="1" xfId="0" applyFont="1" applyBorder="1" applyAlignment="1" applyProtection="1">
      <alignment horizontal="center"/>
    </xf>
    <xf numFmtId="0" fontId="22" fillId="19" borderId="1" xfId="0" applyFont="1" applyFill="1" applyBorder="1" applyAlignment="1" applyProtection="1">
      <alignment vertical="center"/>
    </xf>
    <xf numFmtId="49" fontId="3" fillId="0" borderId="0" xfId="2" applyNumberFormat="1" applyFont="1" applyBorder="1" applyAlignment="1">
      <alignment horizontal="center" vertical="center" wrapText="1"/>
    </xf>
    <xf numFmtId="0" fontId="27" fillId="2" borderId="0" xfId="0" applyFont="1" applyFill="1" applyProtection="1"/>
    <xf numFmtId="0" fontId="27" fillId="2" borderId="0" xfId="0" applyFont="1" applyFill="1" applyAlignment="1" applyProtection="1">
      <alignment horizontal="right"/>
    </xf>
    <xf numFmtId="168" fontId="27" fillId="2" borderId="0" xfId="0" applyNumberFormat="1" applyFont="1" applyFill="1" applyProtection="1"/>
    <xf numFmtId="0" fontId="25" fillId="2" borderId="0" xfId="0" applyFont="1" applyFill="1" applyBorder="1" applyAlignment="1" applyProtection="1">
      <alignment horizontal="centerContinuous"/>
    </xf>
    <xf numFmtId="0" fontId="22" fillId="2" borderId="0" xfId="0" applyFont="1" applyFill="1" applyBorder="1" applyProtection="1"/>
    <xf numFmtId="0" fontId="22" fillId="2" borderId="0" xfId="0" applyFont="1" applyFill="1" applyBorder="1" applyAlignment="1" applyProtection="1">
      <alignment horizontal="center"/>
    </xf>
    <xf numFmtId="0" fontId="3" fillId="2" borderId="0" xfId="2" applyFont="1" applyFill="1" applyBorder="1" applyAlignment="1">
      <alignment horizontal="left" vertical="center" wrapText="1"/>
    </xf>
    <xf numFmtId="0" fontId="22" fillId="2" borderId="0" xfId="0" applyFont="1" applyFill="1" applyProtection="1"/>
    <xf numFmtId="166" fontId="3" fillId="0" borderId="1" xfId="0" applyNumberFormat="1" applyFont="1" applyBorder="1" applyAlignment="1" applyProtection="1">
      <alignment horizontal="center"/>
    </xf>
    <xf numFmtId="11" fontId="3" fillId="0" borderId="1" xfId="0" applyNumberFormat="1" applyFont="1" applyBorder="1" applyAlignment="1" applyProtection="1">
      <alignment horizontal="center"/>
    </xf>
    <xf numFmtId="49" fontId="3" fillId="2" borderId="0" xfId="2" applyNumberFormat="1" applyFont="1" applyFill="1" applyBorder="1" applyAlignment="1">
      <alignment horizontal="center" vertical="center" wrapText="1"/>
    </xf>
    <xf numFmtId="169" fontId="3" fillId="2" borderId="0" xfId="0" applyNumberFormat="1" applyFont="1" applyFill="1" applyBorder="1" applyAlignment="1" applyProtection="1">
      <alignment horizontal="center"/>
      <protection locked="0"/>
    </xf>
    <xf numFmtId="0" fontId="27" fillId="2" borderId="0" xfId="0" applyFont="1" applyFill="1" applyBorder="1" applyAlignment="1" applyProtection="1">
      <alignment horizontal="center"/>
    </xf>
    <xf numFmtId="168" fontId="24" fillId="2" borderId="0" xfId="0" applyNumberFormat="1" applyFont="1" applyFill="1" applyBorder="1" applyAlignment="1" applyProtection="1">
      <alignment horizontal="center"/>
    </xf>
    <xf numFmtId="168" fontId="22" fillId="0" borderId="1" xfId="0" applyNumberFormat="1" applyFont="1" applyBorder="1" applyAlignment="1" applyProtection="1">
      <alignment horizontal="center"/>
    </xf>
    <xf numFmtId="11" fontId="3" fillId="0" borderId="1" xfId="2" applyNumberFormat="1" applyFont="1" applyBorder="1" applyAlignment="1">
      <alignment horizontal="center" vertical="center" wrapText="1"/>
    </xf>
    <xf numFmtId="0" fontId="3" fillId="0" borderId="1" xfId="2" applyNumberFormat="1" applyFont="1" applyBorder="1" applyAlignment="1">
      <alignment horizontal="center" vertical="center" wrapText="1"/>
    </xf>
    <xf numFmtId="166" fontId="3" fillId="0" borderId="1" xfId="2" applyNumberFormat="1" applyFont="1" applyBorder="1" applyAlignment="1">
      <alignment horizontal="center" vertical="center"/>
    </xf>
    <xf numFmtId="0" fontId="3" fillId="0" borderId="1" xfId="2" applyFont="1" applyBorder="1" applyAlignment="1">
      <alignment horizontal="center" vertical="center" wrapText="1"/>
    </xf>
    <xf numFmtId="49" fontId="3" fillId="2" borderId="0" xfId="2" applyNumberFormat="1" applyFont="1" applyFill="1" applyAlignment="1">
      <alignment horizontal="center" vertical="center" wrapText="1"/>
    </xf>
    <xf numFmtId="0" fontId="23" fillId="2" borderId="0" xfId="0" applyFont="1" applyFill="1" applyAlignment="1">
      <alignment horizontal="left" vertical="center"/>
    </xf>
    <xf numFmtId="0" fontId="23" fillId="2" borderId="0" xfId="0" applyFont="1" applyFill="1" applyAlignment="1" applyProtection="1">
      <alignment horizontal="left" vertical="top"/>
    </xf>
    <xf numFmtId="0" fontId="23" fillId="2" borderId="0" xfId="0" applyFont="1" applyFill="1" applyAlignment="1">
      <alignment horizontal="left" vertical="top"/>
    </xf>
    <xf numFmtId="0" fontId="22" fillId="19" borderId="1" xfId="0" applyFont="1" applyFill="1" applyBorder="1" applyAlignment="1">
      <alignment vertical="center"/>
    </xf>
    <xf numFmtId="0" fontId="27" fillId="2" borderId="0" xfId="0" applyFont="1" applyFill="1" applyAlignment="1">
      <alignment vertical="center"/>
    </xf>
    <xf numFmtId="0" fontId="27" fillId="0" borderId="1" xfId="0" applyFont="1" applyBorder="1" applyAlignment="1">
      <alignment vertical="center"/>
    </xf>
    <xf numFmtId="0" fontId="27" fillId="0" borderId="0" xfId="0" applyFont="1" applyBorder="1" applyAlignment="1">
      <alignment vertical="center"/>
    </xf>
    <xf numFmtId="49" fontId="30" fillId="0" borderId="1" xfId="2" applyNumberFormat="1" applyFont="1" applyBorder="1" applyAlignment="1">
      <alignment horizontal="center" vertical="center" wrapText="1"/>
    </xf>
    <xf numFmtId="11" fontId="30" fillId="0" borderId="1" xfId="2" applyNumberFormat="1" applyFont="1" applyBorder="1" applyAlignment="1">
      <alignment horizontal="center" vertical="center" wrapText="1"/>
    </xf>
    <xf numFmtId="49" fontId="31" fillId="2" borderId="1" xfId="0" applyNumberFormat="1" applyFont="1" applyFill="1" applyBorder="1" applyAlignment="1">
      <alignment horizontal="center" vertical="center"/>
    </xf>
    <xf numFmtId="0" fontId="30" fillId="0" borderId="1" xfId="2" applyNumberFormat="1" applyFont="1" applyBorder="1" applyAlignment="1">
      <alignment horizontal="center" vertical="center" wrapText="1"/>
    </xf>
    <xf numFmtId="166" fontId="30" fillId="0" borderId="1" xfId="2" applyNumberFormat="1" applyFont="1" applyBorder="1" applyAlignment="1">
      <alignment horizontal="center" vertical="center"/>
    </xf>
    <xf numFmtId="168" fontId="33" fillId="0" borderId="1" xfId="2" applyNumberFormat="1" applyFont="1" applyBorder="1" applyAlignment="1">
      <alignment horizontal="center" vertical="center" wrapText="1"/>
    </xf>
    <xf numFmtId="0" fontId="30" fillId="0" borderId="1" xfId="2" applyFont="1" applyBorder="1" applyAlignment="1">
      <alignment horizontal="center" vertical="center" wrapText="1"/>
    </xf>
    <xf numFmtId="0" fontId="31" fillId="2" borderId="0" xfId="0" applyFont="1" applyFill="1"/>
    <xf numFmtId="0" fontId="31" fillId="0" borderId="1" xfId="0" applyFont="1" applyBorder="1" applyProtection="1"/>
    <xf numFmtId="0" fontId="30" fillId="0" borderId="1" xfId="0" applyFont="1" applyBorder="1" applyProtection="1"/>
    <xf numFmtId="170" fontId="14" fillId="2" borderId="2" xfId="0" applyNumberFormat="1" applyFont="1" applyFill="1" applyBorder="1" applyAlignment="1">
      <alignment horizontal="center" vertical="center"/>
    </xf>
    <xf numFmtId="170" fontId="13" fillId="2" borderId="1" xfId="0" applyNumberFormat="1" applyFont="1" applyFill="1" applyBorder="1" applyAlignment="1">
      <alignment horizontal="center"/>
    </xf>
    <xf numFmtId="49" fontId="26" fillId="0" borderId="0" xfId="5" applyNumberFormat="1" applyFont="1" applyFill="1" applyBorder="1" applyAlignment="1">
      <alignment horizontal="center" wrapText="1"/>
    </xf>
    <xf numFmtId="0" fontId="23" fillId="0" borderId="0" xfId="5" applyFont="1" applyFill="1" applyAlignment="1">
      <alignment wrapText="1"/>
    </xf>
    <xf numFmtId="0" fontId="3" fillId="0" borderId="0" xfId="5" applyNumberFormat="1" applyFont="1" applyFill="1" applyAlignment="1">
      <alignment vertical="top" wrapText="1"/>
    </xf>
    <xf numFmtId="0" fontId="7" fillId="6" borderId="1" xfId="4" applyFont="1" applyFill="1" applyBorder="1" applyAlignment="1">
      <alignment horizontal="center" wrapText="1"/>
    </xf>
    <xf numFmtId="0" fontId="34" fillId="0" borderId="0" xfId="0" applyFont="1" applyFill="1"/>
    <xf numFmtId="0" fontId="35" fillId="0" borderId="0" xfId="0" applyFont="1" applyFill="1"/>
    <xf numFmtId="0" fontId="3" fillId="0" borderId="0" xfId="5" applyFont="1" applyFill="1" applyAlignment="1">
      <alignment wrapText="1"/>
    </xf>
    <xf numFmtId="0" fontId="27" fillId="0" borderId="0" xfId="0" applyFont="1" applyFill="1"/>
    <xf numFmtId="0" fontId="3" fillId="0" borderId="0" xfId="2" applyAlignment="1">
      <alignment wrapText="1"/>
    </xf>
    <xf numFmtId="0" fontId="27" fillId="0" borderId="0" xfId="0" applyFont="1" applyAlignment="1">
      <alignment wrapText="1"/>
    </xf>
    <xf numFmtId="0" fontId="11" fillId="2" borderId="0" xfId="0" applyFont="1" applyFill="1" applyBorder="1" applyAlignment="1">
      <alignment horizontal="left" vertical="top" wrapText="1"/>
    </xf>
    <xf numFmtId="0" fontId="3" fillId="0" borderId="0" xfId="5" applyFont="1" applyFill="1" applyAlignment="1">
      <alignment horizontal="left" vertical="top" wrapText="1"/>
    </xf>
    <xf numFmtId="0" fontId="3" fillId="0" borderId="0" xfId="2" applyAlignment="1">
      <alignment vertical="top" wrapText="1"/>
    </xf>
    <xf numFmtId="0" fontId="3" fillId="0" borderId="0" xfId="2" applyFont="1" applyFill="1" applyAlignment="1">
      <alignment vertical="top" wrapText="1"/>
    </xf>
    <xf numFmtId="0" fontId="27" fillId="0" borderId="0" xfId="0" applyFont="1" applyFill="1" applyAlignment="1">
      <alignment vertical="top" wrapText="1"/>
    </xf>
    <xf numFmtId="0" fontId="27" fillId="0" borderId="0" xfId="0" applyFont="1" applyAlignment="1">
      <alignment vertical="top" wrapText="1"/>
    </xf>
    <xf numFmtId="0" fontId="40" fillId="2" borderId="0" xfId="0" applyFont="1" applyFill="1" applyBorder="1" applyAlignment="1">
      <alignment vertical="center"/>
    </xf>
    <xf numFmtId="0" fontId="35" fillId="2" borderId="0" xfId="0" applyFont="1" applyFill="1"/>
    <xf numFmtId="0" fontId="41" fillId="0"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41" fillId="0" borderId="2" xfId="0" applyFont="1" applyFill="1" applyBorder="1" applyAlignment="1">
      <alignment horizontal="center" vertical="center"/>
    </xf>
    <xf numFmtId="0" fontId="35" fillId="0" borderId="1" xfId="0" applyFont="1" applyBorder="1" applyProtection="1"/>
    <xf numFmtId="49" fontId="44" fillId="0" borderId="4" xfId="2" applyNumberFormat="1" applyFont="1" applyFill="1" applyBorder="1" applyAlignment="1">
      <alignment horizontal="center" vertical="center" wrapText="1"/>
    </xf>
    <xf numFmtId="11" fontId="35" fillId="0" borderId="1" xfId="0" applyNumberFormat="1" applyFont="1" applyFill="1" applyBorder="1" applyAlignment="1">
      <alignment horizontal="center" vertical="center"/>
    </xf>
    <xf numFmtId="11" fontId="35" fillId="5" borderId="1" xfId="0" applyNumberFormat="1" applyFont="1" applyFill="1" applyBorder="1" applyAlignment="1">
      <alignment horizontal="center" vertical="center"/>
    </xf>
    <xf numFmtId="49" fontId="35" fillId="0" borderId="4" xfId="0" applyNumberFormat="1" applyFont="1" applyFill="1" applyBorder="1" applyAlignment="1">
      <alignment horizontal="center" vertical="center"/>
    </xf>
    <xf numFmtId="2" fontId="41" fillId="2" borderId="4" xfId="0" applyNumberFormat="1" applyFont="1" applyFill="1" applyBorder="1" applyAlignment="1">
      <alignment horizontal="center" vertical="center"/>
    </xf>
    <xf numFmtId="2" fontId="41" fillId="2"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0" fontId="35" fillId="0" borderId="4" xfId="0" applyNumberFormat="1" applyFont="1" applyFill="1" applyBorder="1" applyAlignment="1">
      <alignment horizontal="center" vertical="center"/>
    </xf>
    <xf numFmtId="0" fontId="44" fillId="0" borderId="1" xfId="0" applyFont="1" applyBorder="1" applyProtection="1"/>
    <xf numFmtId="49" fontId="44" fillId="0" borderId="4" xfId="2" applyNumberFormat="1" applyFont="1" applyBorder="1" applyAlignment="1">
      <alignment horizontal="center" vertical="center" wrapText="1"/>
    </xf>
    <xf numFmtId="11" fontId="35" fillId="2" borderId="1" xfId="0" applyNumberFormat="1" applyFont="1" applyFill="1" applyBorder="1" applyAlignment="1">
      <alignment horizontal="center" vertical="center"/>
    </xf>
    <xf numFmtId="49" fontId="44" fillId="0" borderId="1" xfId="2" applyNumberFormat="1" applyFont="1" applyBorder="1" applyAlignment="1">
      <alignment horizontal="center" vertical="center" wrapText="1"/>
    </xf>
    <xf numFmtId="0" fontId="35" fillId="0" borderId="1" xfId="0" applyFont="1" applyFill="1" applyBorder="1"/>
    <xf numFmtId="11" fontId="35" fillId="0" borderId="1" xfId="0" applyNumberFormat="1" applyFont="1" applyBorder="1" applyAlignment="1">
      <alignment horizontal="center" vertical="center"/>
    </xf>
    <xf numFmtId="49" fontId="44" fillId="0" borderId="1" xfId="2" applyNumberFormat="1" applyFont="1" applyFill="1" applyBorder="1" applyAlignment="1">
      <alignment horizontal="center" vertical="center" wrapText="1"/>
    </xf>
    <xf numFmtId="0" fontId="44" fillId="0" borderId="1" xfId="4" applyFont="1" applyFill="1" applyBorder="1" applyAlignment="1"/>
    <xf numFmtId="0" fontId="35" fillId="2" borderId="0" xfId="0" applyFont="1" applyFill="1" applyBorder="1" applyAlignment="1">
      <alignment horizontal="center" vertical="center"/>
    </xf>
    <xf numFmtId="0" fontId="44" fillId="2" borderId="0" xfId="0" applyFont="1" applyFill="1" applyBorder="1"/>
    <xf numFmtId="0" fontId="35" fillId="2" borderId="4" xfId="0" applyFont="1" applyFill="1" applyBorder="1" applyAlignment="1">
      <alignment horizontal="center" vertical="center"/>
    </xf>
    <xf numFmtId="0" fontId="35" fillId="2" borderId="1" xfId="0" applyFont="1" applyFill="1" applyBorder="1"/>
    <xf numFmtId="166" fontId="35" fillId="2" borderId="1" xfId="0" applyNumberFormat="1" applyFont="1" applyFill="1" applyBorder="1" applyAlignment="1">
      <alignment horizontal="center" vertical="center"/>
    </xf>
    <xf numFmtId="166" fontId="35" fillId="2" borderId="4" xfId="0" applyNumberFormat="1" applyFont="1" applyFill="1" applyBorder="1" applyAlignment="1">
      <alignment horizontal="center" vertical="center"/>
    </xf>
    <xf numFmtId="166" fontId="35" fillId="9" borderId="17" xfId="0" applyNumberFormat="1" applyFont="1" applyFill="1" applyBorder="1" applyAlignment="1">
      <alignment horizontal="center"/>
    </xf>
    <xf numFmtId="166" fontId="35" fillId="2" borderId="1" xfId="0" applyNumberFormat="1" applyFont="1" applyFill="1" applyBorder="1" applyAlignment="1">
      <alignment horizontal="center"/>
    </xf>
    <xf numFmtId="166" fontId="35" fillId="2" borderId="4" xfId="0" applyNumberFormat="1" applyFont="1" applyFill="1" applyBorder="1" applyAlignment="1">
      <alignment horizontal="center"/>
    </xf>
    <xf numFmtId="166" fontId="44" fillId="2" borderId="1" xfId="2" applyNumberFormat="1" applyFont="1" applyFill="1" applyBorder="1" applyAlignment="1">
      <alignment horizontal="center" vertical="center" wrapText="1"/>
    </xf>
    <xf numFmtId="166" fontId="35" fillId="9" borderId="16" xfId="0" applyNumberFormat="1" applyFont="1" applyFill="1" applyBorder="1" applyAlignment="1">
      <alignment horizontal="center"/>
    </xf>
    <xf numFmtId="2" fontId="35" fillId="2" borderId="0" xfId="0" applyNumberFormat="1"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Alignment="1">
      <alignment horizontal="center" vertical="center"/>
    </xf>
    <xf numFmtId="0" fontId="35" fillId="2" borderId="0" xfId="0" applyFont="1" applyFill="1" applyAlignment="1">
      <alignment horizontal="center"/>
    </xf>
    <xf numFmtId="0" fontId="35" fillId="10" borderId="1" xfId="0" applyFont="1" applyFill="1" applyBorder="1" applyAlignment="1">
      <alignment horizontal="center"/>
    </xf>
    <xf numFmtId="2" fontId="35" fillId="10" borderId="1" xfId="0" applyNumberFormat="1" applyFont="1" applyFill="1" applyBorder="1" applyAlignment="1">
      <alignment horizontal="center"/>
    </xf>
    <xf numFmtId="0" fontId="35" fillId="11" borderId="1" xfId="0" applyFont="1" applyFill="1" applyBorder="1" applyAlignment="1">
      <alignment horizontal="center"/>
    </xf>
    <xf numFmtId="0" fontId="35" fillId="12" borderId="1" xfId="0" applyFont="1" applyFill="1" applyBorder="1" applyAlignment="1">
      <alignment horizontal="center"/>
    </xf>
    <xf numFmtId="2" fontId="35" fillId="2" borderId="1" xfId="0" applyNumberFormat="1" applyFont="1" applyFill="1" applyBorder="1" applyAlignment="1">
      <alignment horizontal="center" vertical="center"/>
    </xf>
    <xf numFmtId="2" fontId="35" fillId="2" borderId="4" xfId="0" applyNumberFormat="1" applyFont="1" applyFill="1" applyBorder="1" applyAlignment="1">
      <alignment horizontal="center" vertical="center"/>
    </xf>
    <xf numFmtId="0" fontId="46" fillId="2" borderId="0" xfId="0" applyFont="1" applyFill="1" applyBorder="1"/>
    <xf numFmtId="0" fontId="35" fillId="7" borderId="1" xfId="0" applyFont="1" applyFill="1" applyBorder="1" applyAlignment="1">
      <alignment horizontal="center" vertical="center"/>
    </xf>
    <xf numFmtId="0" fontId="41" fillId="0" borderId="1" xfId="0" applyFont="1" applyFill="1" applyBorder="1" applyAlignment="1">
      <alignment horizontal="center" vertical="center"/>
    </xf>
    <xf numFmtId="11" fontId="35" fillId="7" borderId="1" xfId="0" applyNumberFormat="1" applyFont="1" applyFill="1" applyBorder="1" applyAlignment="1">
      <alignment horizontal="center" vertical="center"/>
    </xf>
    <xf numFmtId="0" fontId="35" fillId="0" borderId="1" xfId="0" applyNumberFormat="1" applyFont="1" applyFill="1" applyBorder="1" applyAlignment="1">
      <alignment horizontal="center" vertical="center"/>
    </xf>
    <xf numFmtId="0" fontId="35" fillId="0" borderId="1" xfId="0" applyFont="1" applyBorder="1"/>
    <xf numFmtId="49" fontId="35" fillId="0" borderId="1" xfId="0" applyNumberFormat="1" applyFont="1" applyFill="1" applyBorder="1" applyAlignment="1">
      <alignment horizontal="center" vertical="center"/>
    </xf>
    <xf numFmtId="0" fontId="35" fillId="0" borderId="0" xfId="0" applyFont="1" applyBorder="1"/>
    <xf numFmtId="49" fontId="44" fillId="0" borderId="0" xfId="2" applyNumberFormat="1" applyFont="1" applyBorder="1" applyAlignment="1">
      <alignment horizontal="center" vertical="center" wrapText="1"/>
    </xf>
    <xf numFmtId="11" fontId="35" fillId="2" borderId="0" xfId="0" applyNumberFormat="1" applyFont="1" applyFill="1" applyBorder="1" applyAlignment="1">
      <alignment horizontal="center" vertical="center"/>
    </xf>
    <xf numFmtId="2" fontId="41" fillId="2" borderId="0" xfId="0" applyNumberFormat="1" applyFont="1" applyFill="1" applyBorder="1" applyAlignment="1">
      <alignment horizontal="center" vertical="center"/>
    </xf>
    <xf numFmtId="49" fontId="44" fillId="2" borderId="0" xfId="2" applyNumberFormat="1" applyFont="1" applyFill="1" applyBorder="1" applyAlignment="1">
      <alignment horizontal="center" vertical="center" wrapText="1"/>
    </xf>
    <xf numFmtId="11" fontId="44" fillId="2" borderId="0" xfId="0" applyNumberFormat="1" applyFont="1" applyFill="1" applyBorder="1" applyAlignment="1">
      <alignment horizontal="center" vertical="center"/>
    </xf>
    <xf numFmtId="0" fontId="35" fillId="0" borderId="1" xfId="0" applyFont="1" applyBorder="1" applyAlignment="1">
      <alignment horizontal="center" vertical="center"/>
    </xf>
    <xf numFmtId="49" fontId="44" fillId="2" borderId="1" xfId="2" applyNumberFormat="1" applyFont="1" applyFill="1" applyBorder="1" applyAlignment="1">
      <alignment horizontal="center" vertical="center" wrapText="1"/>
    </xf>
    <xf numFmtId="0" fontId="35" fillId="2" borderId="0" xfId="0" applyFont="1" applyFill="1" applyBorder="1"/>
    <xf numFmtId="0" fontId="35" fillId="7" borderId="1" xfId="0" applyFont="1" applyFill="1" applyBorder="1" applyAlignment="1">
      <alignment horizontal="center"/>
    </xf>
    <xf numFmtId="0" fontId="41" fillId="2" borderId="0" xfId="0" quotePrefix="1" applyFont="1" applyFill="1" applyBorder="1" applyAlignment="1">
      <alignment vertical="center"/>
    </xf>
    <xf numFmtId="0" fontId="41" fillId="2" borderId="0" xfId="0" applyFont="1" applyFill="1" applyBorder="1" applyAlignment="1">
      <alignment vertical="center"/>
    </xf>
    <xf numFmtId="0" fontId="41" fillId="2" borderId="0" xfId="0" quotePrefix="1" applyFont="1" applyFill="1" applyBorder="1" applyAlignment="1">
      <alignment horizontal="left" vertical="center"/>
    </xf>
    <xf numFmtId="0" fontId="41" fillId="2" borderId="0" xfId="0" applyFont="1" applyFill="1" applyBorder="1" applyAlignment="1">
      <alignment horizontal="left" vertical="center"/>
    </xf>
    <xf numFmtId="0" fontId="35" fillId="2" borderId="3" xfId="0" applyFont="1" applyFill="1" applyBorder="1" applyAlignment="1">
      <alignment horizontal="center"/>
    </xf>
    <xf numFmtId="0" fontId="3" fillId="2" borderId="1" xfId="0" applyFont="1" applyFill="1" applyBorder="1" applyAlignment="1">
      <alignment horizontal="center"/>
    </xf>
    <xf numFmtId="0" fontId="35" fillId="2" borderId="1" xfId="0" applyFont="1" applyFill="1" applyBorder="1" applyAlignment="1">
      <alignment horizontal="center" vertical="center"/>
    </xf>
    <xf numFmtId="0" fontId="35" fillId="2" borderId="4" xfId="0" applyFont="1" applyFill="1" applyBorder="1" applyAlignment="1">
      <alignment horizontal="center" vertical="center"/>
    </xf>
    <xf numFmtId="49" fontId="3" fillId="0" borderId="4" xfId="2" applyNumberFormat="1" applyFont="1" applyFill="1" applyBorder="1" applyAlignment="1">
      <alignment horizontal="center" vertical="center" wrapText="1"/>
    </xf>
    <xf numFmtId="0" fontId="35" fillId="2" borderId="1" xfId="0" applyFont="1" applyFill="1" applyBorder="1" applyAlignment="1">
      <alignment horizontal="center"/>
    </xf>
    <xf numFmtId="0" fontId="35" fillId="2" borderId="0" xfId="0" applyFont="1" applyFill="1" applyAlignment="1"/>
    <xf numFmtId="2" fontId="35" fillId="3" borderId="25" xfId="0" applyNumberFormat="1" applyFont="1" applyFill="1" applyBorder="1" applyAlignment="1">
      <alignment horizontal="center"/>
    </xf>
    <xf numFmtId="0" fontId="35" fillId="2" borderId="26" xfId="0" applyFont="1" applyFill="1" applyBorder="1" applyAlignment="1">
      <alignment horizontal="center"/>
    </xf>
    <xf numFmtId="0" fontId="35" fillId="2" borderId="27" xfId="0" applyFont="1" applyFill="1" applyBorder="1" applyAlignment="1">
      <alignment horizontal="center"/>
    </xf>
    <xf numFmtId="0" fontId="35" fillId="2" borderId="28" xfId="0" applyFont="1" applyFill="1" applyBorder="1" applyAlignment="1">
      <alignment horizontal="center"/>
    </xf>
    <xf numFmtId="0" fontId="35" fillId="7" borderId="33" xfId="0" applyFont="1" applyFill="1" applyBorder="1" applyAlignment="1">
      <alignment horizontal="center" vertical="center" wrapText="1"/>
    </xf>
    <xf numFmtId="0" fontId="35" fillId="2" borderId="33" xfId="0" applyFont="1" applyFill="1" applyBorder="1" applyAlignment="1">
      <alignment horizontal="center" vertical="center"/>
    </xf>
    <xf numFmtId="2" fontId="35" fillId="2" borderId="35" xfId="0" applyNumberFormat="1" applyFont="1" applyFill="1" applyBorder="1" applyAlignment="1">
      <alignment horizontal="center" vertical="center"/>
    </xf>
    <xf numFmtId="0" fontId="35" fillId="2" borderId="36" xfId="0" applyFont="1" applyFill="1" applyBorder="1" applyAlignment="1">
      <alignment horizontal="center" vertical="center"/>
    </xf>
    <xf numFmtId="0" fontId="35" fillId="2" borderId="11" xfId="0" applyFont="1" applyFill="1" applyBorder="1" applyAlignment="1">
      <alignment horizontal="center"/>
    </xf>
    <xf numFmtId="0" fontId="35" fillId="2" borderId="0" xfId="0" applyFont="1" applyFill="1" applyBorder="1" applyAlignment="1">
      <alignment vertical="center"/>
    </xf>
    <xf numFmtId="0" fontId="35" fillId="2" borderId="0" xfId="0" quotePrefix="1" applyFont="1" applyFill="1" applyBorder="1" applyAlignment="1">
      <alignment vertical="center"/>
    </xf>
    <xf numFmtId="0" fontId="35" fillId="2" borderId="32" xfId="0" applyFont="1" applyFill="1" applyBorder="1" applyAlignment="1">
      <alignment horizontal="center" vertical="center"/>
    </xf>
    <xf numFmtId="0" fontId="35" fillId="2" borderId="34" xfId="0" applyFont="1" applyFill="1" applyBorder="1" applyAlignment="1">
      <alignment horizontal="center" vertical="center"/>
    </xf>
    <xf numFmtId="0" fontId="44" fillId="7" borderId="28" xfId="0" applyFont="1" applyFill="1" applyBorder="1" applyAlignment="1">
      <alignment horizontal="center" vertical="center"/>
    </xf>
    <xf numFmtId="0" fontId="35" fillId="2" borderId="32" xfId="0" applyFont="1" applyFill="1" applyBorder="1" applyAlignment="1">
      <alignment horizontal="center"/>
    </xf>
    <xf numFmtId="0" fontId="35" fillId="2" borderId="34" xfId="0" applyFont="1" applyFill="1" applyBorder="1" applyAlignment="1">
      <alignment horizontal="center"/>
    </xf>
    <xf numFmtId="2" fontId="35" fillId="2" borderId="40" xfId="0" applyNumberFormat="1" applyFont="1" applyFill="1" applyBorder="1" applyAlignment="1">
      <alignment horizontal="center" vertical="center"/>
    </xf>
    <xf numFmtId="0" fontId="35" fillId="3" borderId="22" xfId="0" applyFont="1" applyFill="1" applyBorder="1" applyAlignment="1">
      <alignment horizontal="center"/>
    </xf>
    <xf numFmtId="0" fontId="27" fillId="0" borderId="1" xfId="0" applyFont="1" applyBorder="1" applyAlignment="1" applyProtection="1">
      <alignment horizontal="left" vertical="center"/>
      <protection locked="0"/>
    </xf>
    <xf numFmtId="49" fontId="3" fillId="0" borderId="1" xfId="2" applyNumberFormat="1" applyBorder="1" applyAlignment="1" applyProtection="1">
      <alignment horizontal="center" vertical="center" wrapText="1"/>
      <protection locked="0"/>
    </xf>
    <xf numFmtId="11" fontId="3" fillId="0" borderId="1" xfId="2" applyNumberFormat="1" applyBorder="1" applyAlignment="1" applyProtection="1">
      <alignment horizontal="center" vertical="center" wrapText="1"/>
      <protection locked="0"/>
    </xf>
    <xf numFmtId="0" fontId="3" fillId="0" borderId="1" xfId="2" applyBorder="1" applyAlignment="1" applyProtection="1">
      <alignment horizontal="center" vertical="center" wrapText="1"/>
      <protection locked="0"/>
    </xf>
    <xf numFmtId="168" fontId="22" fillId="0" borderId="1" xfId="2" applyNumberFormat="1" applyFont="1" applyBorder="1" applyAlignment="1" applyProtection="1">
      <alignment horizontal="center" vertical="center" wrapText="1"/>
      <protection locked="0"/>
    </xf>
    <xf numFmtId="166" fontId="14" fillId="18" borderId="1" xfId="0" applyNumberFormat="1" applyFont="1" applyFill="1" applyBorder="1" applyAlignment="1" applyProtection="1">
      <alignment horizontal="center" vertical="center"/>
      <protection locked="0"/>
    </xf>
    <xf numFmtId="2" fontId="14" fillId="18" borderId="1" xfId="0" applyNumberFormat="1" applyFont="1" applyFill="1" applyBorder="1" applyAlignment="1" applyProtection="1">
      <alignment horizontal="center" vertical="center"/>
      <protection locked="0"/>
    </xf>
    <xf numFmtId="166" fontId="14" fillId="18" borderId="2" xfId="0" applyNumberFormat="1" applyFont="1" applyFill="1" applyBorder="1" applyAlignment="1" applyProtection="1">
      <alignment horizontal="center" vertical="center"/>
      <protection locked="0"/>
    </xf>
    <xf numFmtId="0" fontId="14" fillId="18" borderId="2" xfId="0" applyFont="1" applyFill="1" applyBorder="1" applyAlignment="1" applyProtection="1">
      <alignment horizontal="center" vertical="center"/>
      <protection locked="0"/>
    </xf>
    <xf numFmtId="0" fontId="14" fillId="18" borderId="1" xfId="0" applyFont="1" applyFill="1" applyBorder="1" applyAlignment="1" applyProtection="1">
      <alignment horizontal="left" vertical="center"/>
      <protection locked="0"/>
    </xf>
    <xf numFmtId="0" fontId="14" fillId="2" borderId="1" xfId="0" applyFont="1" applyFill="1" applyBorder="1" applyAlignment="1">
      <alignment horizontal="left" vertical="center"/>
    </xf>
    <xf numFmtId="0" fontId="11" fillId="2" borderId="0" xfId="0" applyFont="1" applyFill="1" applyBorder="1" applyAlignment="1">
      <alignment horizontal="left" vertical="top" wrapText="1"/>
    </xf>
    <xf numFmtId="0" fontId="15" fillId="2" borderId="1" xfId="0" applyFont="1" applyFill="1" applyBorder="1" applyAlignment="1">
      <alignment horizontal="left"/>
    </xf>
    <xf numFmtId="0" fontId="15" fillId="2" borderId="0" xfId="0" applyFont="1" applyFill="1" applyBorder="1" applyAlignment="1">
      <alignment horizontal="left" vertical="center"/>
    </xf>
    <xf numFmtId="0" fontId="11" fillId="18" borderId="1" xfId="0" applyFont="1" applyFill="1" applyBorder="1" applyAlignment="1" applyProtection="1">
      <alignment horizontal="center"/>
      <protection locked="0"/>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3" fillId="2" borderId="7" xfId="0" applyFont="1" applyFill="1" applyBorder="1" applyAlignment="1">
      <alignment horizontal="left"/>
    </xf>
    <xf numFmtId="0" fontId="13" fillId="2" borderId="1" xfId="0" applyFont="1" applyFill="1" applyBorder="1" applyAlignment="1">
      <alignment horizontal="left"/>
    </xf>
    <xf numFmtId="0" fontId="15" fillId="18" borderId="1" xfId="0" applyFont="1" applyFill="1" applyBorder="1" applyAlignment="1" applyProtection="1">
      <alignment horizontal="center" vertical="center"/>
      <protection locked="0"/>
    </xf>
    <xf numFmtId="0" fontId="11" fillId="2" borderId="7" xfId="0" applyFont="1" applyFill="1" applyBorder="1" applyAlignment="1">
      <alignment horizontal="left" wrapText="1"/>
    </xf>
    <xf numFmtId="0" fontId="11" fillId="2" borderId="9" xfId="0" applyFont="1" applyFill="1" applyBorder="1" applyAlignment="1">
      <alignment horizontal="left" wrapText="1"/>
    </xf>
    <xf numFmtId="0" fontId="18" fillId="2" borderId="4"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3" fillId="18" borderId="9" xfId="0" applyFont="1" applyFill="1" applyBorder="1" applyAlignment="1">
      <alignment horizontal="center"/>
    </xf>
    <xf numFmtId="0" fontId="18" fillId="2" borderId="1" xfId="0" applyFont="1" applyFill="1" applyBorder="1" applyAlignment="1">
      <alignment horizontal="center"/>
    </xf>
    <xf numFmtId="0" fontId="11" fillId="15" borderId="0" xfId="0" applyFont="1" applyFill="1" applyAlignment="1">
      <alignment horizontal="center"/>
    </xf>
    <xf numFmtId="0" fontId="14" fillId="2" borderId="0" xfId="0" applyFont="1" applyFill="1" applyBorder="1" applyAlignment="1">
      <alignment horizontal="left" wrapText="1"/>
    </xf>
    <xf numFmtId="0" fontId="13" fillId="18" borderId="18" xfId="0" applyFont="1" applyFill="1" applyBorder="1" applyAlignment="1">
      <alignment horizontal="center"/>
    </xf>
    <xf numFmtId="0" fontId="13" fillId="18" borderId="0" xfId="0" applyFont="1" applyFill="1" applyAlignment="1">
      <alignment horizontal="center"/>
    </xf>
    <xf numFmtId="0" fontId="18" fillId="18" borderId="4" xfId="0" applyFont="1" applyFill="1" applyBorder="1" applyAlignment="1">
      <alignment horizontal="center"/>
    </xf>
    <xf numFmtId="0" fontId="18" fillId="18" borderId="5" xfId="0" applyFont="1" applyFill="1" applyBorder="1" applyAlignment="1">
      <alignment horizontal="center"/>
    </xf>
    <xf numFmtId="0" fontId="18" fillId="18" borderId="6" xfId="0" applyFont="1" applyFill="1" applyBorder="1" applyAlignment="1">
      <alignment horizontal="center"/>
    </xf>
    <xf numFmtId="0" fontId="11" fillId="0" borderId="1" xfId="0" applyFont="1" applyBorder="1" applyAlignment="1">
      <alignment horizontal="center" vertical="center"/>
    </xf>
    <xf numFmtId="0" fontId="35" fillId="2" borderId="1" xfId="0" applyFont="1" applyFill="1" applyBorder="1" applyAlignment="1">
      <alignment horizontal="left" vertical="center"/>
    </xf>
    <xf numFmtId="0" fontId="35" fillId="2" borderId="1" xfId="0" applyFont="1" applyFill="1" applyBorder="1" applyAlignment="1">
      <alignment horizontal="center" vertical="center"/>
    </xf>
    <xf numFmtId="0" fontId="35" fillId="5" borderId="1"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35" fillId="14" borderId="13" xfId="0" applyFont="1" applyFill="1" applyBorder="1" applyAlignment="1">
      <alignment horizontal="center" vertical="center" wrapText="1"/>
    </xf>
    <xf numFmtId="0" fontId="35" fillId="14" borderId="14" xfId="0" applyFont="1" applyFill="1" applyBorder="1" applyAlignment="1">
      <alignment horizontal="center" vertical="center"/>
    </xf>
    <xf numFmtId="0" fontId="35" fillId="14" borderId="15" xfId="0" applyFont="1" applyFill="1" applyBorder="1" applyAlignment="1">
      <alignment horizontal="center" vertical="center"/>
    </xf>
    <xf numFmtId="0" fontId="35" fillId="2" borderId="32" xfId="0" applyFont="1" applyFill="1" applyBorder="1" applyAlignment="1">
      <alignment horizontal="center" vertical="center"/>
    </xf>
    <xf numFmtId="0" fontId="41" fillId="2" borderId="0" xfId="0" quotePrefix="1" applyFont="1" applyFill="1" applyBorder="1" applyAlignment="1">
      <alignment horizontal="left" vertical="center"/>
    </xf>
    <xf numFmtId="0" fontId="41" fillId="2" borderId="0" xfId="0" applyFont="1" applyFill="1" applyBorder="1" applyAlignment="1">
      <alignment horizontal="left" vertical="center"/>
    </xf>
    <xf numFmtId="0" fontId="41" fillId="0" borderId="4" xfId="0" applyFont="1" applyBorder="1" applyAlignment="1">
      <alignment horizontal="center"/>
    </xf>
    <xf numFmtId="0" fontId="41" fillId="0" borderId="6" xfId="0" applyFont="1" applyBorder="1" applyAlignment="1">
      <alignment horizontal="center"/>
    </xf>
    <xf numFmtId="0" fontId="35" fillId="8" borderId="9" xfId="0" applyFont="1" applyFill="1" applyBorder="1" applyAlignment="1">
      <alignment horizontal="center"/>
    </xf>
    <xf numFmtId="0" fontId="48" fillId="16" borderId="37" xfId="0" applyFont="1" applyFill="1" applyBorder="1" applyAlignment="1">
      <alignment horizontal="center"/>
    </xf>
    <xf numFmtId="0" fontId="48" fillId="16" borderId="38" xfId="0" applyFont="1" applyFill="1" applyBorder="1" applyAlignment="1">
      <alignment horizontal="center"/>
    </xf>
    <xf numFmtId="0" fontId="46" fillId="13" borderId="0" xfId="0" applyFont="1" applyFill="1" applyAlignment="1">
      <alignment horizontal="center"/>
    </xf>
    <xf numFmtId="0" fontId="35" fillId="15" borderId="20" xfId="0" applyFont="1" applyFill="1" applyBorder="1" applyAlignment="1">
      <alignment horizontal="center" vertical="center" wrapText="1"/>
    </xf>
    <xf numFmtId="0" fontId="35" fillId="15" borderId="19" xfId="0" applyFont="1" applyFill="1" applyBorder="1" applyAlignment="1">
      <alignment horizontal="center" vertical="center"/>
    </xf>
    <xf numFmtId="0" fontId="35" fillId="15" borderId="25" xfId="0" applyFont="1" applyFill="1" applyBorder="1" applyAlignment="1">
      <alignment horizontal="center" vertical="center"/>
    </xf>
    <xf numFmtId="0" fontId="35" fillId="15" borderId="21" xfId="0" applyFont="1" applyFill="1" applyBorder="1" applyAlignment="1">
      <alignment horizontal="center" vertical="center"/>
    </xf>
    <xf numFmtId="0" fontId="35" fillId="17" borderId="0" xfId="0" applyFont="1" applyFill="1" applyAlignment="1">
      <alignment horizontal="center"/>
    </xf>
    <xf numFmtId="0" fontId="48" fillId="4" borderId="0" xfId="0" applyFont="1" applyFill="1" applyAlignment="1">
      <alignment horizontal="center" vertical="center"/>
    </xf>
    <xf numFmtId="0" fontId="48" fillId="16" borderId="29" xfId="0" applyFont="1" applyFill="1" applyBorder="1" applyAlignment="1">
      <alignment horizontal="center"/>
    </xf>
    <xf numFmtId="0" fontId="48" fillId="16" borderId="41" xfId="0" applyFont="1" applyFill="1" applyBorder="1" applyAlignment="1">
      <alignment horizontal="center"/>
    </xf>
    <xf numFmtId="0" fontId="48" fillId="16" borderId="30" xfId="0" applyFont="1" applyFill="1" applyBorder="1" applyAlignment="1">
      <alignment horizontal="center"/>
    </xf>
    <xf numFmtId="0" fontId="35" fillId="2" borderId="42" xfId="0" applyFont="1" applyFill="1" applyBorder="1" applyAlignment="1">
      <alignment horizontal="center" vertical="center"/>
    </xf>
    <xf numFmtId="0" fontId="35" fillId="2" borderId="43" xfId="0" applyFont="1" applyFill="1" applyBorder="1" applyAlignment="1">
      <alignment horizontal="center" vertical="center"/>
    </xf>
    <xf numFmtId="0" fontId="35" fillId="2" borderId="6" xfId="0" applyFont="1" applyFill="1" applyBorder="1" applyAlignment="1">
      <alignment horizontal="center" vertical="center"/>
    </xf>
    <xf numFmtId="0" fontId="35" fillId="7" borderId="39" xfId="0" applyFont="1" applyFill="1" applyBorder="1" applyAlignment="1">
      <alignment horizontal="center" vertical="center" wrapText="1"/>
    </xf>
    <xf numFmtId="0" fontId="35" fillId="7" borderId="33"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48" fillId="16" borderId="29" xfId="0" applyFont="1" applyFill="1" applyBorder="1" applyAlignment="1">
      <alignment vertical="center"/>
    </xf>
    <xf numFmtId="0" fontId="48" fillId="16" borderId="30" xfId="0" applyFont="1" applyFill="1" applyBorder="1" applyAlignment="1">
      <alignment vertical="center"/>
    </xf>
    <xf numFmtId="0" fontId="35" fillId="0" borderId="1" xfId="0" applyFont="1" applyBorder="1" applyAlignment="1">
      <alignment horizontal="center" vertical="center"/>
    </xf>
  </cellXfs>
  <cellStyles count="6">
    <cellStyle name="Normal" xfId="0" builtinId="0"/>
    <cellStyle name="Normal 2" xfId="5"/>
    <cellStyle name="Normal 2 2" xfId="2"/>
    <cellStyle name="Normal 3" xfId="3"/>
    <cellStyle name="Normal_Feuil1" xfId="4"/>
    <cellStyle name="Percent" xfId="1" builtinId="5"/>
  </cellStyles>
  <dxfs count="7">
    <dxf>
      <fill>
        <patternFill patternType="darkGray"/>
      </fill>
    </dxf>
    <dxf>
      <fill>
        <patternFill patternType="darkGray"/>
      </fill>
    </dxf>
    <dxf>
      <fill>
        <patternFill patternType="darkGray"/>
      </fill>
    </dxf>
    <dxf>
      <fill>
        <patternFill patternType="darkGray"/>
      </fill>
    </dxf>
    <dxf>
      <fill>
        <patternFill patternType="darkGray"/>
      </fill>
    </dxf>
    <dxf>
      <font>
        <color auto="1"/>
      </font>
      <fill>
        <patternFill patternType="darkGray">
          <bgColor theme="0"/>
        </patternFill>
      </fill>
      <border>
        <left/>
        <right/>
        <top/>
        <bottom/>
        <vertical/>
        <horizontal/>
      </border>
    </dxf>
    <dxf>
      <font>
        <color auto="1"/>
      </font>
      <numFmt numFmtId="0" formatCode="General"/>
      <fill>
        <patternFill patternType="darkGray">
          <bgColor theme="0"/>
        </patternFill>
      </fill>
      <border>
        <left/>
        <right/>
        <top/>
        <bottom/>
      </border>
    </dxf>
  </dxfs>
  <tableStyles count="0" defaultTableStyle="TableStyleMedium2" defaultPivotStyle="PivotStyleLight16"/>
  <colors>
    <mruColors>
      <color rgb="FFB68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zoomScale="70" zoomScaleNormal="70" workbookViewId="0">
      <selection activeCell="A28" sqref="A28"/>
    </sheetView>
  </sheetViews>
  <sheetFormatPr defaultColWidth="9.140625" defaultRowHeight="12.75"/>
  <cols>
    <col min="1" max="1" width="121.140625" style="174" customWidth="1"/>
    <col min="2" max="16384" width="9.140625" style="174"/>
  </cols>
  <sheetData>
    <row r="1" spans="1:1" s="172" customFormat="1" ht="15">
      <c r="A1" s="171"/>
    </row>
    <row r="2" spans="1:1" s="172" customFormat="1" ht="14.25"/>
    <row r="3" spans="1:1" s="172" customFormat="1" ht="18">
      <c r="A3" s="167" t="s">
        <v>794</v>
      </c>
    </row>
    <row r="4" spans="1:1" s="172" customFormat="1" ht="4.1500000000000004" customHeight="1"/>
    <row r="5" spans="1:1">
      <c r="A5" s="168" t="s">
        <v>795</v>
      </c>
    </row>
    <row r="6" spans="1:1" ht="4.1500000000000004" customHeight="1"/>
    <row r="7" spans="1:1" ht="44.45" customHeight="1">
      <c r="A7" s="169" t="s">
        <v>876</v>
      </c>
    </row>
    <row r="8" spans="1:1">
      <c r="A8" s="169"/>
    </row>
    <row r="9" spans="1:1">
      <c r="A9" s="168" t="s">
        <v>796</v>
      </c>
    </row>
    <row r="10" spans="1:1" ht="4.1500000000000004" customHeight="1"/>
    <row r="11" spans="1:1" ht="67.900000000000006" customHeight="1">
      <c r="A11" s="169" t="s">
        <v>849</v>
      </c>
    </row>
    <row r="12" spans="1:1" ht="3.6" customHeight="1">
      <c r="A12" s="169"/>
    </row>
    <row r="13" spans="1:1" ht="94.9" customHeight="1">
      <c r="A13" s="169" t="s">
        <v>845</v>
      </c>
    </row>
    <row r="14" spans="1:1" ht="4.1500000000000004" customHeight="1"/>
    <row r="15" spans="1:1" ht="27.75" customHeight="1">
      <c r="A15" s="181" t="s">
        <v>800</v>
      </c>
    </row>
    <row r="16" spans="1:1" ht="4.1500000000000004" customHeight="1"/>
    <row r="17" spans="1:1" ht="4.1500000000000004" customHeight="1">
      <c r="A17" s="173"/>
    </row>
    <row r="18" spans="1:1" ht="30" customHeight="1">
      <c r="A18" s="178" t="s">
        <v>891</v>
      </c>
    </row>
    <row r="19" spans="1:1" ht="3.6" customHeight="1"/>
    <row r="20" spans="1:1">
      <c r="A20" s="168" t="s">
        <v>797</v>
      </c>
    </row>
    <row r="21" spans="1:1" ht="4.1500000000000004" customHeight="1"/>
    <row r="22" spans="1:1" ht="25.5">
      <c r="A22" s="179" t="s">
        <v>846</v>
      </c>
    </row>
    <row r="23" spans="1:1" ht="6.75" customHeight="1"/>
    <row r="24" spans="1:1">
      <c r="A24" s="168" t="s">
        <v>798</v>
      </c>
    </row>
    <row r="25" spans="1:1" ht="4.1500000000000004" customHeight="1"/>
    <row r="26" spans="1:1" ht="16.5" customHeight="1">
      <c r="A26" s="180" t="s">
        <v>852</v>
      </c>
    </row>
    <row r="27" spans="1:1" ht="4.1500000000000004" customHeight="1">
      <c r="A27" s="173"/>
    </row>
    <row r="28" spans="1:1" ht="49.9" customHeight="1">
      <c r="A28" s="179" t="s">
        <v>847</v>
      </c>
    </row>
    <row r="29" spans="1:1" ht="3.6" customHeight="1">
      <c r="A29" s="175"/>
    </row>
    <row r="30" spans="1:1" ht="55.9" customHeight="1">
      <c r="A30" s="181" t="s">
        <v>851</v>
      </c>
    </row>
    <row r="31" spans="1:1" ht="4.9000000000000004" customHeight="1"/>
    <row r="32" spans="1:1" ht="69.599999999999994" customHeight="1">
      <c r="A32" s="179" t="s">
        <v>848</v>
      </c>
    </row>
    <row r="33" spans="1:1" ht="2.25" customHeight="1">
      <c r="A33" s="175"/>
    </row>
    <row r="34" spans="1:1" ht="25.5">
      <c r="A34" s="182" t="s">
        <v>853</v>
      </c>
    </row>
    <row r="35" spans="1:1" ht="3.75" customHeight="1"/>
    <row r="36" spans="1:1" ht="25.5">
      <c r="A36" s="182" t="s">
        <v>892</v>
      </c>
    </row>
    <row r="37" spans="1:1" ht="2.25" customHeight="1">
      <c r="A37" s="176"/>
    </row>
    <row r="38" spans="1:1" ht="25.5">
      <c r="A38" s="169" t="s">
        <v>799</v>
      </c>
    </row>
  </sheetData>
  <sheetProtection algorithmName="SHA-512" hashValue="euG+LCzFRVBJrZh/tF9NtZTJkjs3TL2YcguvbZSb2W+roH9mWSJVkZvxH9Xi6VIeVI3kl6VYE52kWrznuk/5sQ==" saltValue="ALA7Q7qOiTvq3DmMAtcC+w==" spinCount="100000" sheet="1" objects="1" scenarios="1" selectLockedCells="1" selectUnlockedCells="1"/>
  <pageMargins left="0.62992125984251968" right="0.62992125984251968" top="0.59055118110236227" bottom="0.47244094488188981"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opLeftCell="A2" zoomScaleNormal="100" workbookViewId="0">
      <selection activeCell="J2" sqref="J2"/>
    </sheetView>
  </sheetViews>
  <sheetFormatPr defaultColWidth="19.42578125" defaultRowHeight="17.25"/>
  <cols>
    <col min="1" max="1" width="17.85546875" style="42" bestFit="1" customWidth="1"/>
    <col min="2" max="2" width="11.85546875" style="42" bestFit="1" customWidth="1"/>
    <col min="3" max="3" width="59.28515625" style="42" bestFit="1" customWidth="1"/>
    <col min="4" max="4" width="14.7109375" style="42" bestFit="1" customWidth="1"/>
    <col min="5" max="5" width="19.28515625" style="42" bestFit="1" customWidth="1"/>
    <col min="6" max="6" width="14.85546875" style="1" bestFit="1" customWidth="1"/>
    <col min="7" max="7" width="12.28515625" style="42" bestFit="1" customWidth="1"/>
    <col min="8" max="8" width="15.28515625" style="1" bestFit="1" customWidth="1"/>
    <col min="9" max="9" width="15.28515625" style="42" bestFit="1" customWidth="1"/>
    <col min="10" max="16384" width="19.42578125" style="2"/>
  </cols>
  <sheetData>
    <row r="1" spans="1:9" hidden="1">
      <c r="A1" s="1">
        <v>1</v>
      </c>
      <c r="B1" s="1">
        <v>2</v>
      </c>
      <c r="C1" s="1">
        <v>3</v>
      </c>
      <c r="D1" s="1">
        <v>4</v>
      </c>
      <c r="E1" s="1">
        <v>5</v>
      </c>
      <c r="F1" s="1">
        <v>6</v>
      </c>
      <c r="G1" s="1">
        <v>7</v>
      </c>
      <c r="H1" s="1">
        <v>9</v>
      </c>
      <c r="I1" s="1">
        <v>10</v>
      </c>
    </row>
    <row r="2" spans="1:9" ht="27.75">
      <c r="A2" s="3" t="s">
        <v>95</v>
      </c>
      <c r="B2" s="3" t="s">
        <v>96</v>
      </c>
      <c r="C2" s="3" t="s">
        <v>97</v>
      </c>
      <c r="D2" s="3" t="s">
        <v>98</v>
      </c>
      <c r="E2" s="3" t="s">
        <v>99</v>
      </c>
      <c r="F2" s="4" t="s">
        <v>100</v>
      </c>
      <c r="G2" s="3" t="s">
        <v>101</v>
      </c>
      <c r="H2" s="170" t="s">
        <v>102</v>
      </c>
      <c r="I2" s="5" t="s">
        <v>103</v>
      </c>
    </row>
    <row r="3" spans="1:9" ht="16.5">
      <c r="A3" s="6" t="s">
        <v>104</v>
      </c>
      <c r="B3" s="7"/>
      <c r="C3" s="8" t="s">
        <v>105</v>
      </c>
      <c r="D3" s="9"/>
      <c r="E3" s="10" t="s">
        <v>106</v>
      </c>
      <c r="F3" s="11">
        <v>10000</v>
      </c>
      <c r="G3" s="12">
        <v>0.01</v>
      </c>
      <c r="H3" s="13" t="s">
        <v>107</v>
      </c>
      <c r="I3" s="13" t="s">
        <v>108</v>
      </c>
    </row>
    <row r="4" spans="1:9" ht="16.5">
      <c r="A4" s="6" t="s">
        <v>109</v>
      </c>
      <c r="B4" s="14"/>
      <c r="C4" s="8" t="s">
        <v>110</v>
      </c>
      <c r="D4" s="9"/>
      <c r="E4" s="10" t="s">
        <v>106</v>
      </c>
      <c r="F4" s="11">
        <v>10000</v>
      </c>
      <c r="G4" s="12">
        <v>0.01</v>
      </c>
      <c r="H4" s="13" t="s">
        <v>107</v>
      </c>
      <c r="I4" s="13" t="s">
        <v>108</v>
      </c>
    </row>
    <row r="5" spans="1:9" ht="16.5">
      <c r="A5" s="6" t="s">
        <v>111</v>
      </c>
      <c r="B5" s="14"/>
      <c r="C5" s="8" t="s">
        <v>112</v>
      </c>
      <c r="D5" s="9"/>
      <c r="E5" s="10" t="s">
        <v>106</v>
      </c>
      <c r="F5" s="11">
        <v>10000</v>
      </c>
      <c r="G5" s="12">
        <v>0.01</v>
      </c>
      <c r="H5" s="13" t="s">
        <v>107</v>
      </c>
      <c r="I5" s="13" t="s">
        <v>108</v>
      </c>
    </row>
    <row r="6" spans="1:9" ht="16.5">
      <c r="A6" s="15" t="s">
        <v>113</v>
      </c>
      <c r="B6" s="14"/>
      <c r="C6" s="16" t="s">
        <v>114</v>
      </c>
      <c r="D6" s="9"/>
      <c r="E6" s="17" t="s">
        <v>106</v>
      </c>
      <c r="F6" s="18">
        <v>10000</v>
      </c>
      <c r="G6" s="18">
        <v>0.01</v>
      </c>
      <c r="H6" s="13" t="s">
        <v>107</v>
      </c>
      <c r="I6" s="13" t="s">
        <v>108</v>
      </c>
    </row>
    <row r="7" spans="1:9" ht="16.5">
      <c r="A7" s="6" t="s">
        <v>115</v>
      </c>
      <c r="B7" s="14"/>
      <c r="C7" s="8" t="s">
        <v>116</v>
      </c>
      <c r="D7" s="9"/>
      <c r="E7" s="10" t="s">
        <v>106</v>
      </c>
      <c r="F7" s="11">
        <v>10000</v>
      </c>
      <c r="G7" s="12">
        <v>0.01</v>
      </c>
      <c r="H7" s="13" t="s">
        <v>107</v>
      </c>
      <c r="I7" s="13" t="s">
        <v>108</v>
      </c>
    </row>
    <row r="8" spans="1:9" ht="16.5">
      <c r="A8" s="6" t="s">
        <v>117</v>
      </c>
      <c r="B8" s="14"/>
      <c r="C8" s="8" t="s">
        <v>118</v>
      </c>
      <c r="D8" s="9"/>
      <c r="E8" s="10" t="s">
        <v>106</v>
      </c>
      <c r="F8" s="11">
        <v>10000</v>
      </c>
      <c r="G8" s="12">
        <v>0.01</v>
      </c>
      <c r="H8" s="13" t="s">
        <v>107</v>
      </c>
      <c r="I8" s="13" t="s">
        <v>108</v>
      </c>
    </row>
    <row r="9" spans="1:9" ht="16.5">
      <c r="A9" s="6" t="s">
        <v>119</v>
      </c>
      <c r="B9" s="7"/>
      <c r="C9" s="19" t="s">
        <v>120</v>
      </c>
      <c r="D9" s="9"/>
      <c r="E9" s="10" t="s">
        <v>106</v>
      </c>
      <c r="F9" s="11">
        <v>10000</v>
      </c>
      <c r="G9" s="12">
        <v>0.01</v>
      </c>
      <c r="H9" s="13"/>
      <c r="I9" s="13" t="s">
        <v>108</v>
      </c>
    </row>
    <row r="10" spans="1:9" ht="16.5">
      <c r="A10" s="6" t="s">
        <v>121</v>
      </c>
      <c r="B10" s="14"/>
      <c r="C10" s="8" t="s">
        <v>122</v>
      </c>
      <c r="D10" s="9"/>
      <c r="E10" s="10" t="s">
        <v>106</v>
      </c>
      <c r="F10" s="11">
        <v>10000</v>
      </c>
      <c r="G10" s="12">
        <v>0.01</v>
      </c>
      <c r="H10" s="13" t="s">
        <v>108</v>
      </c>
      <c r="I10" s="13" t="s">
        <v>108</v>
      </c>
    </row>
    <row r="11" spans="1:9" ht="16.5">
      <c r="A11" s="6" t="s">
        <v>123</v>
      </c>
      <c r="B11" s="7"/>
      <c r="C11" s="8" t="s">
        <v>124</v>
      </c>
      <c r="D11" s="9"/>
      <c r="E11" s="10" t="s">
        <v>106</v>
      </c>
      <c r="F11" s="11">
        <v>10000</v>
      </c>
      <c r="G11" s="12">
        <v>0.01</v>
      </c>
      <c r="H11" s="13" t="s">
        <v>108</v>
      </c>
      <c r="I11" s="13" t="s">
        <v>108</v>
      </c>
    </row>
    <row r="12" spans="1:9" ht="16.5">
      <c r="A12" s="6" t="s">
        <v>125</v>
      </c>
      <c r="B12" s="14"/>
      <c r="C12" s="19" t="s">
        <v>126</v>
      </c>
      <c r="D12" s="9"/>
      <c r="E12" s="10" t="s">
        <v>106</v>
      </c>
      <c r="F12" s="11">
        <v>10000</v>
      </c>
      <c r="G12" s="12">
        <v>0.01</v>
      </c>
      <c r="H12" s="13" t="s">
        <v>108</v>
      </c>
      <c r="I12" s="13" t="s">
        <v>108</v>
      </c>
    </row>
    <row r="13" spans="1:9" ht="16.5">
      <c r="A13" s="15" t="s">
        <v>127</v>
      </c>
      <c r="B13" s="14"/>
      <c r="C13" s="16" t="s">
        <v>128</v>
      </c>
      <c r="D13" s="9"/>
      <c r="E13" s="17" t="s">
        <v>106</v>
      </c>
      <c r="F13" s="18">
        <v>10000</v>
      </c>
      <c r="G13" s="18">
        <v>0.01</v>
      </c>
      <c r="H13" s="13"/>
      <c r="I13" s="13" t="s">
        <v>108</v>
      </c>
    </row>
    <row r="14" spans="1:9" ht="16.5">
      <c r="A14" s="6" t="s">
        <v>129</v>
      </c>
      <c r="B14" s="7"/>
      <c r="C14" s="8" t="s">
        <v>130</v>
      </c>
      <c r="D14" s="9"/>
      <c r="E14" s="10" t="s">
        <v>106</v>
      </c>
      <c r="F14" s="11">
        <v>10000</v>
      </c>
      <c r="G14" s="12">
        <v>0.01</v>
      </c>
      <c r="H14" s="13" t="s">
        <v>108</v>
      </c>
      <c r="I14" s="13" t="s">
        <v>108</v>
      </c>
    </row>
    <row r="15" spans="1:9" ht="16.5">
      <c r="A15" s="15" t="s">
        <v>131</v>
      </c>
      <c r="B15" s="14"/>
      <c r="C15" s="16" t="s">
        <v>132</v>
      </c>
      <c r="D15" s="9"/>
      <c r="E15" s="17" t="s">
        <v>106</v>
      </c>
      <c r="F15" s="18">
        <v>10000</v>
      </c>
      <c r="G15" s="18">
        <v>0.01</v>
      </c>
      <c r="H15" s="13" t="s">
        <v>108</v>
      </c>
      <c r="I15" s="13" t="s">
        <v>108</v>
      </c>
    </row>
    <row r="16" spans="1:9" ht="16.5">
      <c r="A16" s="6" t="s">
        <v>29</v>
      </c>
      <c r="B16" s="7"/>
      <c r="C16" s="8" t="s">
        <v>28</v>
      </c>
      <c r="D16" s="9"/>
      <c r="E16" s="10" t="s">
        <v>106</v>
      </c>
      <c r="F16" s="11">
        <v>10000</v>
      </c>
      <c r="G16" s="12">
        <v>0.01</v>
      </c>
      <c r="H16" s="13" t="s">
        <v>107</v>
      </c>
      <c r="I16" s="13" t="s">
        <v>108</v>
      </c>
    </row>
    <row r="17" spans="1:9" ht="16.5">
      <c r="A17" s="6" t="s">
        <v>133</v>
      </c>
      <c r="B17" s="14"/>
      <c r="C17" s="8" t="s">
        <v>134</v>
      </c>
      <c r="D17" s="9"/>
      <c r="E17" s="10" t="s">
        <v>106</v>
      </c>
      <c r="F17" s="11">
        <v>10000</v>
      </c>
      <c r="G17" s="12">
        <v>0.01</v>
      </c>
      <c r="H17" s="13" t="s">
        <v>108</v>
      </c>
      <c r="I17" s="13" t="s">
        <v>108</v>
      </c>
    </row>
    <row r="18" spans="1:9" ht="16.5">
      <c r="A18" s="6" t="s">
        <v>135</v>
      </c>
      <c r="B18" s="14"/>
      <c r="C18" s="8" t="s">
        <v>136</v>
      </c>
      <c r="D18" s="9"/>
      <c r="E18" s="10" t="s">
        <v>106</v>
      </c>
      <c r="F18" s="11">
        <v>10000</v>
      </c>
      <c r="G18" s="12">
        <v>0.01</v>
      </c>
      <c r="H18" s="13" t="s">
        <v>108</v>
      </c>
      <c r="I18" s="13" t="s">
        <v>108</v>
      </c>
    </row>
    <row r="19" spans="1:9" ht="16.5">
      <c r="A19" s="6" t="s">
        <v>137</v>
      </c>
      <c r="B19" s="14"/>
      <c r="C19" s="8" t="s">
        <v>138</v>
      </c>
      <c r="D19" s="9"/>
      <c r="E19" s="10" t="s">
        <v>106</v>
      </c>
      <c r="F19" s="11">
        <v>10000</v>
      </c>
      <c r="G19" s="12">
        <v>0.01</v>
      </c>
      <c r="H19" s="13" t="s">
        <v>107</v>
      </c>
      <c r="I19" s="13" t="s">
        <v>108</v>
      </c>
    </row>
    <row r="20" spans="1:9" ht="16.5">
      <c r="A20" s="15" t="s">
        <v>139</v>
      </c>
      <c r="B20" s="14"/>
      <c r="C20" s="16" t="s">
        <v>140</v>
      </c>
      <c r="D20" s="9"/>
      <c r="E20" s="17" t="s">
        <v>106</v>
      </c>
      <c r="F20" s="18">
        <v>10000</v>
      </c>
      <c r="G20" s="18">
        <v>0.01</v>
      </c>
      <c r="H20" s="13" t="s">
        <v>107</v>
      </c>
      <c r="I20" s="13" t="s">
        <v>108</v>
      </c>
    </row>
    <row r="21" spans="1:9" ht="16.5">
      <c r="A21" s="6" t="s">
        <v>141</v>
      </c>
      <c r="B21" s="14"/>
      <c r="C21" s="8" t="s">
        <v>142</v>
      </c>
      <c r="D21" s="9"/>
      <c r="E21" s="10" t="s">
        <v>106</v>
      </c>
      <c r="F21" s="11">
        <v>10000</v>
      </c>
      <c r="G21" s="12">
        <v>0.01</v>
      </c>
      <c r="H21" s="13" t="s">
        <v>108</v>
      </c>
      <c r="I21" s="13" t="s">
        <v>108</v>
      </c>
    </row>
    <row r="22" spans="1:9" ht="16.5">
      <c r="A22" s="6" t="s">
        <v>143</v>
      </c>
      <c r="B22" s="14"/>
      <c r="C22" s="8" t="s">
        <v>144</v>
      </c>
      <c r="D22" s="9"/>
      <c r="E22" s="10" t="s">
        <v>106</v>
      </c>
      <c r="F22" s="11">
        <v>10000</v>
      </c>
      <c r="G22" s="12">
        <v>0.01</v>
      </c>
      <c r="H22" s="13" t="s">
        <v>108</v>
      </c>
      <c r="I22" s="13" t="s">
        <v>108</v>
      </c>
    </row>
    <row r="23" spans="1:9" ht="16.5">
      <c r="A23" s="15" t="s">
        <v>145</v>
      </c>
      <c r="B23" s="14"/>
      <c r="C23" s="16" t="s">
        <v>146</v>
      </c>
      <c r="D23" s="9"/>
      <c r="E23" s="17" t="s">
        <v>106</v>
      </c>
      <c r="F23" s="18">
        <v>10000</v>
      </c>
      <c r="G23" s="18">
        <v>0.01</v>
      </c>
      <c r="H23" s="13" t="s">
        <v>108</v>
      </c>
      <c r="I23" s="13" t="s">
        <v>108</v>
      </c>
    </row>
    <row r="24" spans="1:9" ht="16.5">
      <c r="A24" s="6" t="s">
        <v>147</v>
      </c>
      <c r="B24" s="14"/>
      <c r="C24" s="20" t="s">
        <v>148</v>
      </c>
      <c r="D24" s="9"/>
      <c r="E24" s="10" t="s">
        <v>106</v>
      </c>
      <c r="F24" s="21">
        <v>10000</v>
      </c>
      <c r="G24" s="22">
        <v>0.01</v>
      </c>
      <c r="H24" s="13" t="s">
        <v>108</v>
      </c>
      <c r="I24" s="13" t="s">
        <v>108</v>
      </c>
    </row>
    <row r="25" spans="1:9" ht="16.5">
      <c r="A25" s="6" t="s">
        <v>149</v>
      </c>
      <c r="B25" s="14"/>
      <c r="C25" s="8" t="s">
        <v>150</v>
      </c>
      <c r="D25" s="9"/>
      <c r="E25" s="10" t="s">
        <v>106</v>
      </c>
      <c r="F25" s="11">
        <v>10000</v>
      </c>
      <c r="G25" s="12">
        <v>0.01</v>
      </c>
      <c r="H25" s="23" t="s">
        <v>107</v>
      </c>
      <c r="I25" s="13" t="s">
        <v>108</v>
      </c>
    </row>
    <row r="26" spans="1:9" ht="16.5">
      <c r="A26" s="6" t="s">
        <v>27</v>
      </c>
      <c r="B26" s="14" t="s">
        <v>151</v>
      </c>
      <c r="C26" s="8" t="s">
        <v>152</v>
      </c>
      <c r="D26" s="9"/>
      <c r="E26" s="10" t="s">
        <v>106</v>
      </c>
      <c r="F26" s="11">
        <v>10000</v>
      </c>
      <c r="G26" s="12">
        <v>0.01</v>
      </c>
      <c r="H26" s="13" t="s">
        <v>107</v>
      </c>
      <c r="I26" s="13" t="s">
        <v>108</v>
      </c>
    </row>
    <row r="27" spans="1:9" ht="16.5">
      <c r="A27" s="6" t="s">
        <v>153</v>
      </c>
      <c r="B27" s="14" t="s">
        <v>154</v>
      </c>
      <c r="C27" s="8" t="s">
        <v>155</v>
      </c>
      <c r="D27" s="9"/>
      <c r="E27" s="10" t="s">
        <v>106</v>
      </c>
      <c r="F27" s="11">
        <v>10000</v>
      </c>
      <c r="G27" s="12">
        <v>0.01</v>
      </c>
      <c r="H27" s="13" t="s">
        <v>107</v>
      </c>
      <c r="I27" s="13" t="s">
        <v>108</v>
      </c>
    </row>
    <row r="28" spans="1:9" ht="16.5">
      <c r="A28" s="15" t="s">
        <v>156</v>
      </c>
      <c r="B28" s="14"/>
      <c r="C28" s="16" t="s">
        <v>157</v>
      </c>
      <c r="D28" s="9"/>
      <c r="E28" s="17" t="s">
        <v>106</v>
      </c>
      <c r="F28" s="18">
        <v>10000</v>
      </c>
      <c r="G28" s="18">
        <v>0.01</v>
      </c>
      <c r="H28" s="13" t="s">
        <v>107</v>
      </c>
      <c r="I28" s="13" t="s">
        <v>108</v>
      </c>
    </row>
    <row r="29" spans="1:9" ht="16.5">
      <c r="A29" s="6" t="s">
        <v>158</v>
      </c>
      <c r="B29" s="14" t="s">
        <v>159</v>
      </c>
      <c r="C29" s="8" t="s">
        <v>160</v>
      </c>
      <c r="D29" s="9"/>
      <c r="E29" s="10" t="s">
        <v>106</v>
      </c>
      <c r="F29" s="11">
        <v>10000</v>
      </c>
      <c r="G29" s="12">
        <v>0.01</v>
      </c>
      <c r="H29" s="13" t="s">
        <v>107</v>
      </c>
      <c r="I29" s="13" t="s">
        <v>108</v>
      </c>
    </row>
    <row r="30" spans="1:9" ht="16.5">
      <c r="A30" s="15" t="s">
        <v>161</v>
      </c>
      <c r="B30" s="14" t="s">
        <v>162</v>
      </c>
      <c r="C30" s="16" t="s">
        <v>160</v>
      </c>
      <c r="D30" s="9"/>
      <c r="E30" s="17" t="s">
        <v>106</v>
      </c>
      <c r="F30" s="18">
        <v>10000</v>
      </c>
      <c r="G30" s="18">
        <v>0.01</v>
      </c>
      <c r="H30" s="13" t="s">
        <v>107</v>
      </c>
      <c r="I30" s="13" t="s">
        <v>108</v>
      </c>
    </row>
    <row r="31" spans="1:9" ht="16.5">
      <c r="A31" s="6" t="s">
        <v>163</v>
      </c>
      <c r="B31" s="14" t="s">
        <v>164</v>
      </c>
      <c r="C31" s="8" t="s">
        <v>160</v>
      </c>
      <c r="D31" s="9"/>
      <c r="E31" s="10" t="s">
        <v>106</v>
      </c>
      <c r="F31" s="11">
        <v>10000</v>
      </c>
      <c r="G31" s="12">
        <v>0.01</v>
      </c>
      <c r="H31" s="13" t="s">
        <v>107</v>
      </c>
      <c r="I31" s="13" t="s">
        <v>108</v>
      </c>
    </row>
    <row r="32" spans="1:9" ht="16.5">
      <c r="A32" s="15" t="s">
        <v>165</v>
      </c>
      <c r="B32" s="14" t="s">
        <v>166</v>
      </c>
      <c r="C32" s="16" t="s">
        <v>160</v>
      </c>
      <c r="D32" s="9"/>
      <c r="E32" s="17" t="s">
        <v>106</v>
      </c>
      <c r="F32" s="18">
        <v>10000</v>
      </c>
      <c r="G32" s="18">
        <v>0.01</v>
      </c>
      <c r="H32" s="13" t="s">
        <v>107</v>
      </c>
      <c r="I32" s="13" t="s">
        <v>108</v>
      </c>
    </row>
    <row r="33" spans="1:9" ht="16.5">
      <c r="A33" s="6" t="s">
        <v>167</v>
      </c>
      <c r="B33" s="14"/>
      <c r="C33" s="8" t="s">
        <v>168</v>
      </c>
      <c r="D33" s="9"/>
      <c r="E33" s="10" t="s">
        <v>106</v>
      </c>
      <c r="F33" s="11">
        <v>10000</v>
      </c>
      <c r="G33" s="12">
        <v>0.01</v>
      </c>
      <c r="H33" s="13" t="s">
        <v>107</v>
      </c>
      <c r="I33" s="13" t="s">
        <v>108</v>
      </c>
    </row>
    <row r="34" spans="1:9" ht="16.5">
      <c r="A34" s="15" t="s">
        <v>169</v>
      </c>
      <c r="B34" s="14" t="s">
        <v>170</v>
      </c>
      <c r="C34" s="16" t="s">
        <v>171</v>
      </c>
      <c r="D34" s="9"/>
      <c r="E34" s="17" t="s">
        <v>106</v>
      </c>
      <c r="F34" s="18">
        <v>10000</v>
      </c>
      <c r="G34" s="18">
        <v>0.01</v>
      </c>
      <c r="H34" s="13" t="s">
        <v>107</v>
      </c>
      <c r="I34" s="13" t="s">
        <v>108</v>
      </c>
    </row>
    <row r="35" spans="1:9" ht="16.5">
      <c r="A35" s="6" t="s">
        <v>172</v>
      </c>
      <c r="B35" s="14"/>
      <c r="C35" s="8" t="s">
        <v>173</v>
      </c>
      <c r="D35" s="9"/>
      <c r="E35" s="10" t="s">
        <v>106</v>
      </c>
      <c r="F35" s="11">
        <v>10000</v>
      </c>
      <c r="G35" s="12">
        <v>0.01</v>
      </c>
      <c r="H35" s="13" t="s">
        <v>107</v>
      </c>
      <c r="I35" s="13" t="s">
        <v>108</v>
      </c>
    </row>
    <row r="36" spans="1:9" ht="16.5">
      <c r="A36" s="15" t="s">
        <v>174</v>
      </c>
      <c r="B36" s="14"/>
      <c r="C36" s="16" t="s">
        <v>175</v>
      </c>
      <c r="D36" s="9"/>
      <c r="E36" s="17" t="s">
        <v>106</v>
      </c>
      <c r="F36" s="18">
        <v>10000</v>
      </c>
      <c r="G36" s="18">
        <v>0.01</v>
      </c>
      <c r="H36" s="13" t="s">
        <v>108</v>
      </c>
      <c r="I36" s="13" t="s">
        <v>108</v>
      </c>
    </row>
    <row r="37" spans="1:9" ht="16.5">
      <c r="A37" s="6" t="s">
        <v>176</v>
      </c>
      <c r="B37" s="14"/>
      <c r="C37" s="8" t="s">
        <v>177</v>
      </c>
      <c r="D37" s="9"/>
      <c r="E37" s="10" t="s">
        <v>106</v>
      </c>
      <c r="F37" s="11">
        <v>10000</v>
      </c>
      <c r="G37" s="12">
        <v>0.01</v>
      </c>
      <c r="H37" s="13" t="s">
        <v>108</v>
      </c>
      <c r="I37" s="13" t="s">
        <v>108</v>
      </c>
    </row>
    <row r="38" spans="1:9" ht="16.5">
      <c r="A38" s="6" t="s">
        <v>178</v>
      </c>
      <c r="B38" s="14"/>
      <c r="C38" s="8" t="s">
        <v>179</v>
      </c>
      <c r="D38" s="9"/>
      <c r="E38" s="10" t="s">
        <v>106</v>
      </c>
      <c r="F38" s="11">
        <v>10000</v>
      </c>
      <c r="G38" s="12">
        <v>0.01</v>
      </c>
      <c r="H38" s="13" t="s">
        <v>108</v>
      </c>
      <c r="I38" s="13" t="s">
        <v>108</v>
      </c>
    </row>
    <row r="39" spans="1:9" ht="16.5">
      <c r="A39" s="6" t="s">
        <v>180</v>
      </c>
      <c r="B39" s="14"/>
      <c r="C39" s="8" t="s">
        <v>181</v>
      </c>
      <c r="D39" s="9"/>
      <c r="E39" s="10" t="s">
        <v>106</v>
      </c>
      <c r="F39" s="11">
        <v>10000</v>
      </c>
      <c r="G39" s="12">
        <v>0.01</v>
      </c>
      <c r="H39" s="13" t="s">
        <v>107</v>
      </c>
      <c r="I39" s="13" t="s">
        <v>108</v>
      </c>
    </row>
    <row r="40" spans="1:9" ht="16.5">
      <c r="A40" s="6" t="s">
        <v>182</v>
      </c>
      <c r="B40" s="14"/>
      <c r="C40" s="8" t="s">
        <v>183</v>
      </c>
      <c r="D40" s="9"/>
      <c r="E40" s="10" t="s">
        <v>106</v>
      </c>
      <c r="F40" s="11">
        <v>10000</v>
      </c>
      <c r="G40" s="12">
        <v>0.01</v>
      </c>
      <c r="H40" s="13" t="s">
        <v>107</v>
      </c>
      <c r="I40" s="13" t="s">
        <v>108</v>
      </c>
    </row>
    <row r="41" spans="1:9" ht="16.5">
      <c r="A41" s="15" t="s">
        <v>184</v>
      </c>
      <c r="B41" s="14"/>
      <c r="C41" s="16" t="s">
        <v>185</v>
      </c>
      <c r="D41" s="9"/>
      <c r="E41" s="17" t="s">
        <v>106</v>
      </c>
      <c r="F41" s="18">
        <v>10000</v>
      </c>
      <c r="G41" s="18">
        <v>0.01</v>
      </c>
      <c r="H41" s="13" t="s">
        <v>107</v>
      </c>
      <c r="I41" s="13" t="s">
        <v>108</v>
      </c>
    </row>
    <row r="42" spans="1:9" ht="16.5">
      <c r="A42" s="6" t="s">
        <v>186</v>
      </c>
      <c r="B42" s="14"/>
      <c r="C42" s="8" t="s">
        <v>187</v>
      </c>
      <c r="D42" s="9"/>
      <c r="E42" s="10" t="s">
        <v>106</v>
      </c>
      <c r="F42" s="11">
        <v>10000</v>
      </c>
      <c r="G42" s="12">
        <v>0.01</v>
      </c>
      <c r="H42" s="13" t="s">
        <v>108</v>
      </c>
      <c r="I42" s="13" t="s">
        <v>108</v>
      </c>
    </row>
    <row r="43" spans="1:9" ht="16.5">
      <c r="A43" s="6" t="s">
        <v>188</v>
      </c>
      <c r="B43" s="7"/>
      <c r="C43" s="8" t="s">
        <v>189</v>
      </c>
      <c r="D43" s="9"/>
      <c r="E43" s="10" t="s">
        <v>106</v>
      </c>
      <c r="F43" s="11">
        <v>10000</v>
      </c>
      <c r="G43" s="12">
        <v>0.01</v>
      </c>
      <c r="H43" s="13" t="s">
        <v>108</v>
      </c>
      <c r="I43" s="13" t="s">
        <v>108</v>
      </c>
    </row>
    <row r="44" spans="1:9" ht="16.5">
      <c r="A44" s="15" t="s">
        <v>190</v>
      </c>
      <c r="B44" s="14"/>
      <c r="C44" s="16" t="s">
        <v>191</v>
      </c>
      <c r="D44" s="9"/>
      <c r="E44" s="17" t="s">
        <v>106</v>
      </c>
      <c r="F44" s="18">
        <v>10000</v>
      </c>
      <c r="G44" s="18">
        <v>0.01</v>
      </c>
      <c r="H44" s="13" t="s">
        <v>108</v>
      </c>
      <c r="I44" s="13" t="s">
        <v>108</v>
      </c>
    </row>
    <row r="45" spans="1:9" ht="16.5">
      <c r="A45" s="6" t="s">
        <v>192</v>
      </c>
      <c r="B45" s="14"/>
      <c r="C45" s="8" t="s">
        <v>193</v>
      </c>
      <c r="D45" s="9"/>
      <c r="E45" s="10" t="s">
        <v>106</v>
      </c>
      <c r="F45" s="11">
        <v>10000</v>
      </c>
      <c r="G45" s="12">
        <v>0.01</v>
      </c>
      <c r="H45" s="13" t="s">
        <v>107</v>
      </c>
      <c r="I45" s="13" t="s">
        <v>108</v>
      </c>
    </row>
    <row r="46" spans="1:9" ht="16.5">
      <c r="A46" s="6" t="s">
        <v>194</v>
      </c>
      <c r="B46" s="14"/>
      <c r="C46" s="8" t="s">
        <v>195</v>
      </c>
      <c r="D46" s="9"/>
      <c r="E46" s="10" t="s">
        <v>106</v>
      </c>
      <c r="F46" s="11">
        <v>10000</v>
      </c>
      <c r="G46" s="12">
        <v>0.01</v>
      </c>
      <c r="H46" s="13" t="s">
        <v>108</v>
      </c>
      <c r="I46" s="13" t="s">
        <v>108</v>
      </c>
    </row>
    <row r="47" spans="1:9" ht="16.5">
      <c r="A47" s="6" t="s">
        <v>196</v>
      </c>
      <c r="B47" s="14"/>
      <c r="C47" s="8" t="s">
        <v>197</v>
      </c>
      <c r="D47" s="9"/>
      <c r="E47" s="10" t="s">
        <v>106</v>
      </c>
      <c r="F47" s="11">
        <v>10000</v>
      </c>
      <c r="G47" s="12">
        <v>0.01</v>
      </c>
      <c r="H47" s="13" t="s">
        <v>108</v>
      </c>
      <c r="I47" s="13" t="s">
        <v>108</v>
      </c>
    </row>
    <row r="48" spans="1:9" ht="16.5">
      <c r="A48" s="6" t="s">
        <v>198</v>
      </c>
      <c r="B48" s="14"/>
      <c r="C48" s="20" t="s">
        <v>199</v>
      </c>
      <c r="D48" s="9"/>
      <c r="E48" s="17" t="s">
        <v>106</v>
      </c>
      <c r="F48" s="18">
        <v>10000</v>
      </c>
      <c r="G48" s="18">
        <v>0.01</v>
      </c>
      <c r="H48" s="13" t="s">
        <v>108</v>
      </c>
      <c r="I48" s="13" t="s">
        <v>108</v>
      </c>
    </row>
    <row r="49" spans="1:9" ht="16.5">
      <c r="A49" s="6" t="s">
        <v>200</v>
      </c>
      <c r="B49" s="14"/>
      <c r="C49" s="8" t="s">
        <v>201</v>
      </c>
      <c r="D49" s="9"/>
      <c r="E49" s="10" t="s">
        <v>106</v>
      </c>
      <c r="F49" s="11">
        <v>10000</v>
      </c>
      <c r="G49" s="12">
        <v>0.01</v>
      </c>
      <c r="H49" s="13" t="s">
        <v>108</v>
      </c>
      <c r="I49" s="13" t="s">
        <v>108</v>
      </c>
    </row>
    <row r="50" spans="1:9" ht="16.5">
      <c r="A50" s="6" t="s">
        <v>202</v>
      </c>
      <c r="B50" s="14"/>
      <c r="C50" s="8" t="s">
        <v>203</v>
      </c>
      <c r="D50" s="9"/>
      <c r="E50" s="10" t="s">
        <v>106</v>
      </c>
      <c r="F50" s="11">
        <v>10000</v>
      </c>
      <c r="G50" s="12">
        <v>0.01</v>
      </c>
      <c r="H50" s="13" t="s">
        <v>108</v>
      </c>
      <c r="I50" s="13" t="s">
        <v>108</v>
      </c>
    </row>
    <row r="51" spans="1:9" ht="16.5">
      <c r="A51" s="6" t="s">
        <v>204</v>
      </c>
      <c r="B51" s="14"/>
      <c r="C51" s="8" t="s">
        <v>205</v>
      </c>
      <c r="D51" s="9"/>
      <c r="E51" s="10" t="s">
        <v>106</v>
      </c>
      <c r="F51" s="11">
        <v>10000</v>
      </c>
      <c r="G51" s="12">
        <v>0.01</v>
      </c>
      <c r="H51" s="13" t="s">
        <v>107</v>
      </c>
      <c r="I51" s="13" t="s">
        <v>108</v>
      </c>
    </row>
    <row r="52" spans="1:9" ht="16.5">
      <c r="A52" s="15" t="s">
        <v>206</v>
      </c>
      <c r="B52" s="14"/>
      <c r="C52" s="16" t="s">
        <v>207</v>
      </c>
      <c r="D52" s="9"/>
      <c r="E52" s="17" t="s">
        <v>106</v>
      </c>
      <c r="F52" s="18">
        <v>10000</v>
      </c>
      <c r="G52" s="18">
        <v>0.01</v>
      </c>
      <c r="H52" s="13" t="s">
        <v>107</v>
      </c>
      <c r="I52" s="13" t="s">
        <v>108</v>
      </c>
    </row>
    <row r="53" spans="1:9" ht="16.5">
      <c r="A53" s="6" t="s">
        <v>208</v>
      </c>
      <c r="B53" s="14"/>
      <c r="C53" s="8" t="s">
        <v>209</v>
      </c>
      <c r="D53" s="9"/>
      <c r="E53" s="10" t="s">
        <v>106</v>
      </c>
      <c r="F53" s="11">
        <v>10000</v>
      </c>
      <c r="G53" s="12">
        <v>0.01</v>
      </c>
      <c r="H53" s="13" t="s">
        <v>107</v>
      </c>
      <c r="I53" s="13" t="s">
        <v>108</v>
      </c>
    </row>
    <row r="54" spans="1:9" ht="16.5">
      <c r="A54" s="15" t="s">
        <v>210</v>
      </c>
      <c r="B54" s="14"/>
      <c r="C54" s="16" t="s">
        <v>211</v>
      </c>
      <c r="D54" s="9"/>
      <c r="E54" s="17" t="s">
        <v>106</v>
      </c>
      <c r="F54" s="18">
        <v>10000</v>
      </c>
      <c r="G54" s="18">
        <v>0.01</v>
      </c>
      <c r="H54" s="13" t="s">
        <v>107</v>
      </c>
      <c r="I54" s="13" t="s">
        <v>108</v>
      </c>
    </row>
    <row r="55" spans="1:9" ht="16.5">
      <c r="A55" s="15" t="s">
        <v>30</v>
      </c>
      <c r="B55" s="14"/>
      <c r="C55" s="16" t="s">
        <v>212</v>
      </c>
      <c r="D55" s="9"/>
      <c r="E55" s="17" t="s">
        <v>106</v>
      </c>
      <c r="F55" s="18">
        <v>10000</v>
      </c>
      <c r="G55" s="18">
        <v>0.01</v>
      </c>
      <c r="H55" s="13" t="s">
        <v>108</v>
      </c>
      <c r="I55" s="13" t="s">
        <v>108</v>
      </c>
    </row>
    <row r="56" spans="1:9" ht="16.5">
      <c r="A56" s="15" t="s">
        <v>90</v>
      </c>
      <c r="B56" s="14"/>
      <c r="C56" s="16" t="s">
        <v>213</v>
      </c>
      <c r="D56" s="9"/>
      <c r="E56" s="17" t="s">
        <v>106</v>
      </c>
      <c r="F56" s="18">
        <v>10000</v>
      </c>
      <c r="G56" s="18">
        <v>0.01</v>
      </c>
      <c r="H56" s="13" t="s">
        <v>108</v>
      </c>
      <c r="I56" s="13" t="s">
        <v>108</v>
      </c>
    </row>
    <row r="57" spans="1:9" ht="16.5">
      <c r="A57" s="15" t="s">
        <v>214</v>
      </c>
      <c r="B57" s="14"/>
      <c r="C57" s="16" t="s">
        <v>215</v>
      </c>
      <c r="D57" s="9"/>
      <c r="E57" s="17" t="s">
        <v>106</v>
      </c>
      <c r="F57" s="18">
        <v>10000</v>
      </c>
      <c r="G57" s="18">
        <v>0.01</v>
      </c>
      <c r="H57" s="13" t="s">
        <v>107</v>
      </c>
      <c r="I57" s="13" t="s">
        <v>108</v>
      </c>
    </row>
    <row r="58" spans="1:9" ht="16.5">
      <c r="A58" s="6" t="s">
        <v>216</v>
      </c>
      <c r="B58" s="14"/>
      <c r="C58" s="8" t="s">
        <v>217</v>
      </c>
      <c r="D58" s="9"/>
      <c r="E58" s="10" t="s">
        <v>106</v>
      </c>
      <c r="F58" s="11">
        <v>10000</v>
      </c>
      <c r="G58" s="12">
        <v>0.01</v>
      </c>
      <c r="H58" s="13" t="s">
        <v>107</v>
      </c>
      <c r="I58" s="13" t="s">
        <v>108</v>
      </c>
    </row>
    <row r="59" spans="1:9" ht="16.5">
      <c r="A59" s="15" t="s">
        <v>218</v>
      </c>
      <c r="B59" s="14"/>
      <c r="C59" s="16" t="s">
        <v>219</v>
      </c>
      <c r="D59" s="9"/>
      <c r="E59" s="17" t="s">
        <v>106</v>
      </c>
      <c r="F59" s="18">
        <v>10000</v>
      </c>
      <c r="G59" s="18">
        <v>0.01</v>
      </c>
      <c r="H59" s="13" t="s">
        <v>108</v>
      </c>
      <c r="I59" s="13" t="s">
        <v>108</v>
      </c>
    </row>
    <row r="60" spans="1:9" ht="16.5">
      <c r="A60" s="15" t="s">
        <v>220</v>
      </c>
      <c r="B60" s="14"/>
      <c r="C60" s="16" t="s">
        <v>221</v>
      </c>
      <c r="D60" s="9"/>
      <c r="E60" s="17" t="s">
        <v>106</v>
      </c>
      <c r="F60" s="18">
        <v>10000</v>
      </c>
      <c r="G60" s="18">
        <v>0.01</v>
      </c>
      <c r="H60" s="13" t="s">
        <v>108</v>
      </c>
      <c r="I60" s="13" t="s">
        <v>108</v>
      </c>
    </row>
    <row r="61" spans="1:9" ht="16.5">
      <c r="A61" s="6" t="s">
        <v>222</v>
      </c>
      <c r="B61" s="14"/>
      <c r="C61" s="8" t="s">
        <v>223</v>
      </c>
      <c r="D61" s="9"/>
      <c r="E61" s="10" t="s">
        <v>106</v>
      </c>
      <c r="F61" s="11">
        <v>10000</v>
      </c>
      <c r="G61" s="12">
        <v>0.01</v>
      </c>
      <c r="H61" s="13" t="s">
        <v>107</v>
      </c>
      <c r="I61" s="13" t="s">
        <v>108</v>
      </c>
    </row>
    <row r="62" spans="1:9" ht="16.5">
      <c r="A62" s="6" t="s">
        <v>224</v>
      </c>
      <c r="B62" s="14"/>
      <c r="C62" s="19" t="s">
        <v>225</v>
      </c>
      <c r="D62" s="9"/>
      <c r="E62" s="10" t="s">
        <v>106</v>
      </c>
      <c r="F62" s="11">
        <v>10000</v>
      </c>
      <c r="G62" s="12">
        <v>0.01</v>
      </c>
      <c r="H62" s="13" t="s">
        <v>107</v>
      </c>
      <c r="I62" s="13" t="s">
        <v>108</v>
      </c>
    </row>
    <row r="63" spans="1:9" ht="16.5">
      <c r="A63" s="6" t="s">
        <v>226</v>
      </c>
      <c r="B63" s="14"/>
      <c r="C63" s="8" t="s">
        <v>227</v>
      </c>
      <c r="D63" s="9"/>
      <c r="E63" s="10" t="s">
        <v>106</v>
      </c>
      <c r="F63" s="11">
        <v>10000</v>
      </c>
      <c r="G63" s="12">
        <v>0.01</v>
      </c>
      <c r="H63" s="13" t="s">
        <v>108</v>
      </c>
      <c r="I63" s="13" t="s">
        <v>108</v>
      </c>
    </row>
    <row r="64" spans="1:9" ht="16.5">
      <c r="A64" s="6" t="s">
        <v>228</v>
      </c>
      <c r="B64" s="14" t="s">
        <v>229</v>
      </c>
      <c r="C64" s="20" t="s">
        <v>230</v>
      </c>
      <c r="D64" s="9"/>
      <c r="E64" s="17" t="s">
        <v>106</v>
      </c>
      <c r="F64" s="18">
        <v>10000</v>
      </c>
      <c r="G64" s="18">
        <v>0.01</v>
      </c>
      <c r="H64" s="13" t="s">
        <v>108</v>
      </c>
      <c r="I64" s="13" t="s">
        <v>108</v>
      </c>
    </row>
    <row r="65" spans="1:9" ht="16.5">
      <c r="A65" s="6" t="s">
        <v>231</v>
      </c>
      <c r="B65" s="14"/>
      <c r="C65" s="8" t="s">
        <v>232</v>
      </c>
      <c r="D65" s="9"/>
      <c r="E65" s="10" t="s">
        <v>106</v>
      </c>
      <c r="F65" s="11">
        <v>10000</v>
      </c>
      <c r="G65" s="12">
        <v>0.01</v>
      </c>
      <c r="H65" s="23" t="s">
        <v>107</v>
      </c>
      <c r="I65" s="23" t="s">
        <v>108</v>
      </c>
    </row>
    <row r="66" spans="1:9" ht="16.5">
      <c r="A66" s="6" t="s">
        <v>233</v>
      </c>
      <c r="B66" s="14" t="s">
        <v>234</v>
      </c>
      <c r="C66" s="8" t="s">
        <v>235</v>
      </c>
      <c r="D66" s="9"/>
      <c r="E66" s="10" t="s">
        <v>106</v>
      </c>
      <c r="F66" s="11">
        <v>10000</v>
      </c>
      <c r="G66" s="12">
        <v>0.01</v>
      </c>
      <c r="H66" s="13" t="s">
        <v>107</v>
      </c>
      <c r="I66" s="13" t="s">
        <v>108</v>
      </c>
    </row>
    <row r="67" spans="1:9" ht="16.5">
      <c r="A67" s="24" t="s">
        <v>236</v>
      </c>
      <c r="B67" s="14" t="s">
        <v>237</v>
      </c>
      <c r="C67" s="25" t="s">
        <v>235</v>
      </c>
      <c r="D67" s="9"/>
      <c r="E67" s="26" t="s">
        <v>106</v>
      </c>
      <c r="F67" s="11">
        <v>10000</v>
      </c>
      <c r="G67" s="27">
        <v>0.01</v>
      </c>
      <c r="H67" s="13" t="s">
        <v>107</v>
      </c>
      <c r="I67" s="13" t="s">
        <v>108</v>
      </c>
    </row>
    <row r="68" spans="1:9" ht="16.5">
      <c r="A68" s="6" t="s">
        <v>238</v>
      </c>
      <c r="B68" s="14" t="s">
        <v>239</v>
      </c>
      <c r="C68" s="28" t="s">
        <v>240</v>
      </c>
      <c r="D68" s="9"/>
      <c r="E68" s="13" t="s">
        <v>106</v>
      </c>
      <c r="F68" s="11">
        <v>10000</v>
      </c>
      <c r="G68" s="12">
        <v>0.01</v>
      </c>
      <c r="H68" s="13" t="s">
        <v>108</v>
      </c>
      <c r="I68" s="13" t="s">
        <v>108</v>
      </c>
    </row>
    <row r="69" spans="1:9" ht="16.5">
      <c r="A69" s="6" t="s">
        <v>241</v>
      </c>
      <c r="B69" s="14" t="s">
        <v>170</v>
      </c>
      <c r="C69" s="28" t="s">
        <v>242</v>
      </c>
      <c r="D69" s="9"/>
      <c r="E69" s="13" t="s">
        <v>106</v>
      </c>
      <c r="F69" s="11">
        <v>10000</v>
      </c>
      <c r="G69" s="12">
        <v>0.01</v>
      </c>
      <c r="H69" s="13" t="s">
        <v>107</v>
      </c>
      <c r="I69" s="13" t="s">
        <v>108</v>
      </c>
    </row>
    <row r="70" spans="1:9" ht="16.5">
      <c r="A70" s="6" t="s">
        <v>243</v>
      </c>
      <c r="B70" s="14"/>
      <c r="C70" s="28" t="s">
        <v>244</v>
      </c>
      <c r="D70" s="9"/>
      <c r="E70" s="13" t="s">
        <v>106</v>
      </c>
      <c r="F70" s="11">
        <v>10000</v>
      </c>
      <c r="G70" s="12">
        <v>0.01</v>
      </c>
      <c r="H70" s="13" t="s">
        <v>108</v>
      </c>
      <c r="I70" s="13" t="s">
        <v>108</v>
      </c>
    </row>
    <row r="71" spans="1:9" ht="16.5">
      <c r="A71" s="6" t="s">
        <v>245</v>
      </c>
      <c r="B71" s="14" t="s">
        <v>246</v>
      </c>
      <c r="C71" s="28" t="s">
        <v>247</v>
      </c>
      <c r="D71" s="9"/>
      <c r="E71" s="13" t="s">
        <v>106</v>
      </c>
      <c r="F71" s="11">
        <v>10000</v>
      </c>
      <c r="G71" s="12">
        <v>0.01</v>
      </c>
      <c r="H71" s="13" t="s">
        <v>108</v>
      </c>
      <c r="I71" s="13" t="s">
        <v>108</v>
      </c>
    </row>
    <row r="72" spans="1:9" ht="16.5">
      <c r="A72" s="6" t="s">
        <v>248</v>
      </c>
      <c r="B72" s="14" t="s">
        <v>170</v>
      </c>
      <c r="C72" s="8" t="s">
        <v>249</v>
      </c>
      <c r="D72" s="9"/>
      <c r="E72" s="10" t="s">
        <v>106</v>
      </c>
      <c r="F72" s="11">
        <v>10000</v>
      </c>
      <c r="G72" s="12">
        <v>0.01</v>
      </c>
      <c r="H72" s="13" t="s">
        <v>107</v>
      </c>
      <c r="I72" s="13" t="s">
        <v>108</v>
      </c>
    </row>
    <row r="73" spans="1:9" ht="16.5">
      <c r="A73" s="6" t="s">
        <v>250</v>
      </c>
      <c r="B73" s="14"/>
      <c r="C73" s="28" t="s">
        <v>251</v>
      </c>
      <c r="D73" s="9"/>
      <c r="E73" s="13" t="s">
        <v>106</v>
      </c>
      <c r="F73" s="11">
        <v>10000</v>
      </c>
      <c r="G73" s="12">
        <v>0.01</v>
      </c>
      <c r="H73" s="13" t="s">
        <v>107</v>
      </c>
      <c r="I73" s="13" t="s">
        <v>108</v>
      </c>
    </row>
    <row r="74" spans="1:9" ht="16.5">
      <c r="A74" s="15" t="s">
        <v>252</v>
      </c>
      <c r="B74" s="14"/>
      <c r="C74" s="29" t="s">
        <v>253</v>
      </c>
      <c r="D74" s="9"/>
      <c r="E74" s="30" t="s">
        <v>106</v>
      </c>
      <c r="F74" s="18">
        <v>10000</v>
      </c>
      <c r="G74" s="18">
        <v>0.01</v>
      </c>
      <c r="H74" s="13" t="s">
        <v>108</v>
      </c>
      <c r="I74" s="13" t="s">
        <v>108</v>
      </c>
    </row>
    <row r="75" spans="1:9" ht="16.5">
      <c r="A75" s="6" t="s">
        <v>254</v>
      </c>
      <c r="B75" s="14"/>
      <c r="C75" s="28" t="s">
        <v>255</v>
      </c>
      <c r="D75" s="9"/>
      <c r="E75" s="13" t="s">
        <v>106</v>
      </c>
      <c r="F75" s="11">
        <v>10000</v>
      </c>
      <c r="G75" s="12">
        <v>0.01</v>
      </c>
      <c r="H75" s="13" t="s">
        <v>108</v>
      </c>
      <c r="I75" s="13" t="s">
        <v>108</v>
      </c>
    </row>
    <row r="76" spans="1:9" ht="16.5">
      <c r="A76" s="6" t="s">
        <v>256</v>
      </c>
      <c r="B76" s="14"/>
      <c r="C76" s="28" t="s">
        <v>257</v>
      </c>
      <c r="D76" s="9"/>
      <c r="E76" s="13" t="s">
        <v>106</v>
      </c>
      <c r="F76" s="11">
        <v>10000</v>
      </c>
      <c r="G76" s="12">
        <v>0.01</v>
      </c>
      <c r="H76" s="13" t="s">
        <v>108</v>
      </c>
      <c r="I76" s="13" t="s">
        <v>108</v>
      </c>
    </row>
    <row r="77" spans="1:9" ht="16.5">
      <c r="A77" s="15" t="s">
        <v>258</v>
      </c>
      <c r="B77" s="14"/>
      <c r="C77" s="29" t="s">
        <v>259</v>
      </c>
      <c r="D77" s="9"/>
      <c r="E77" s="30" t="s">
        <v>106</v>
      </c>
      <c r="F77" s="18">
        <v>10000</v>
      </c>
      <c r="G77" s="18">
        <v>0.01</v>
      </c>
      <c r="H77" s="13" t="s">
        <v>107</v>
      </c>
      <c r="I77" s="13" t="s">
        <v>108</v>
      </c>
    </row>
    <row r="78" spans="1:9" ht="16.5">
      <c r="A78" s="6" t="s">
        <v>260</v>
      </c>
      <c r="B78" s="14" t="s">
        <v>261</v>
      </c>
      <c r="C78" s="28" t="s">
        <v>262</v>
      </c>
      <c r="D78" s="9"/>
      <c r="E78" s="13" t="s">
        <v>106</v>
      </c>
      <c r="F78" s="11">
        <v>10000</v>
      </c>
      <c r="G78" s="12">
        <v>0.01</v>
      </c>
      <c r="H78" s="13" t="s">
        <v>108</v>
      </c>
      <c r="I78" s="13" t="s">
        <v>108</v>
      </c>
    </row>
    <row r="79" spans="1:9" ht="16.5">
      <c r="A79" s="15" t="s">
        <v>263</v>
      </c>
      <c r="B79" s="14" t="s">
        <v>261</v>
      </c>
      <c r="C79" s="29" t="s">
        <v>264</v>
      </c>
      <c r="D79" s="9"/>
      <c r="E79" s="30" t="s">
        <v>106</v>
      </c>
      <c r="F79" s="18">
        <v>10000</v>
      </c>
      <c r="G79" s="18">
        <v>0.01</v>
      </c>
      <c r="H79" s="13" t="s">
        <v>107</v>
      </c>
      <c r="I79" s="13" t="s">
        <v>108</v>
      </c>
    </row>
    <row r="80" spans="1:9" ht="16.5">
      <c r="A80" s="6" t="s">
        <v>265</v>
      </c>
      <c r="B80" s="14"/>
      <c r="C80" s="28" t="s">
        <v>266</v>
      </c>
      <c r="D80" s="9"/>
      <c r="E80" s="13" t="s">
        <v>106</v>
      </c>
      <c r="F80" s="11">
        <v>10000</v>
      </c>
      <c r="G80" s="12">
        <v>0.01</v>
      </c>
      <c r="H80" s="13" t="s">
        <v>107</v>
      </c>
      <c r="I80" s="13" t="s">
        <v>108</v>
      </c>
    </row>
    <row r="81" spans="1:9" ht="16.5">
      <c r="A81" s="6" t="s">
        <v>267</v>
      </c>
      <c r="B81" s="14"/>
      <c r="C81" s="28" t="s">
        <v>268</v>
      </c>
      <c r="D81" s="9"/>
      <c r="E81" s="13" t="s">
        <v>106</v>
      </c>
      <c r="F81" s="11">
        <v>10000</v>
      </c>
      <c r="G81" s="12">
        <v>0.01</v>
      </c>
      <c r="H81" s="13" t="s">
        <v>108</v>
      </c>
      <c r="I81" s="13" t="s">
        <v>108</v>
      </c>
    </row>
    <row r="82" spans="1:9" ht="16.5">
      <c r="A82" s="15" t="s">
        <v>269</v>
      </c>
      <c r="B82" s="14" t="s">
        <v>270</v>
      </c>
      <c r="C82" s="29" t="s">
        <v>271</v>
      </c>
      <c r="D82" s="9"/>
      <c r="E82" s="30" t="s">
        <v>106</v>
      </c>
      <c r="F82" s="18">
        <v>10000</v>
      </c>
      <c r="G82" s="18">
        <v>0.01</v>
      </c>
      <c r="H82" s="13" t="s">
        <v>108</v>
      </c>
      <c r="I82" s="13" t="s">
        <v>108</v>
      </c>
    </row>
    <row r="83" spans="1:9" ht="16.5">
      <c r="A83" s="6" t="s">
        <v>272</v>
      </c>
      <c r="B83" s="14" t="s">
        <v>246</v>
      </c>
      <c r="C83" s="28" t="s">
        <v>273</v>
      </c>
      <c r="D83" s="9"/>
      <c r="E83" s="13" t="s">
        <v>106</v>
      </c>
      <c r="F83" s="11">
        <v>10000</v>
      </c>
      <c r="G83" s="12">
        <v>0.01</v>
      </c>
      <c r="H83" s="13" t="s">
        <v>108</v>
      </c>
      <c r="I83" s="13" t="s">
        <v>108</v>
      </c>
    </row>
    <row r="84" spans="1:9" ht="16.5">
      <c r="A84" s="24" t="s">
        <v>274</v>
      </c>
      <c r="B84" s="14"/>
      <c r="C84" s="31" t="s">
        <v>275</v>
      </c>
      <c r="D84" s="9"/>
      <c r="E84" s="30" t="s">
        <v>106</v>
      </c>
      <c r="F84" s="18">
        <v>10000</v>
      </c>
      <c r="G84" s="18">
        <v>0.01</v>
      </c>
      <c r="H84" s="13" t="s">
        <v>108</v>
      </c>
      <c r="I84" s="13" t="s">
        <v>108</v>
      </c>
    </row>
    <row r="85" spans="1:9" ht="16.5">
      <c r="A85" s="6" t="s">
        <v>276</v>
      </c>
      <c r="B85" s="14" t="s">
        <v>277</v>
      </c>
      <c r="C85" s="28" t="s">
        <v>278</v>
      </c>
      <c r="D85" s="9"/>
      <c r="E85" s="32" t="s">
        <v>106</v>
      </c>
      <c r="F85" s="11">
        <v>10000</v>
      </c>
      <c r="G85" s="12">
        <v>0.01</v>
      </c>
      <c r="H85" s="13" t="s">
        <v>107</v>
      </c>
      <c r="I85" s="13" t="s">
        <v>108</v>
      </c>
    </row>
    <row r="86" spans="1:9" ht="16.5">
      <c r="A86" s="6" t="s">
        <v>279</v>
      </c>
      <c r="B86" s="14"/>
      <c r="C86" s="28" t="s">
        <v>280</v>
      </c>
      <c r="D86" s="9"/>
      <c r="E86" s="10" t="s">
        <v>106</v>
      </c>
      <c r="F86" s="11">
        <v>10000</v>
      </c>
      <c r="G86" s="12">
        <v>0.01</v>
      </c>
      <c r="H86" s="13" t="s">
        <v>107</v>
      </c>
      <c r="I86" s="13" t="s">
        <v>108</v>
      </c>
    </row>
    <row r="87" spans="1:9" ht="16.5">
      <c r="A87" s="6" t="s">
        <v>281</v>
      </c>
      <c r="B87" s="14"/>
      <c r="C87" s="28" t="s">
        <v>282</v>
      </c>
      <c r="D87" s="9"/>
      <c r="E87" s="10" t="s">
        <v>106</v>
      </c>
      <c r="F87" s="11">
        <v>10000</v>
      </c>
      <c r="G87" s="12">
        <v>0.01</v>
      </c>
      <c r="H87" s="13" t="s">
        <v>107</v>
      </c>
      <c r="I87" s="13" t="s">
        <v>108</v>
      </c>
    </row>
    <row r="88" spans="1:9" ht="16.5">
      <c r="A88" s="6" t="s">
        <v>283</v>
      </c>
      <c r="B88" s="14" t="s">
        <v>154</v>
      </c>
      <c r="C88" s="28" t="s">
        <v>284</v>
      </c>
      <c r="D88" s="9"/>
      <c r="E88" s="10" t="s">
        <v>106</v>
      </c>
      <c r="F88" s="11">
        <v>10000</v>
      </c>
      <c r="G88" s="12">
        <v>0.01</v>
      </c>
      <c r="H88" s="13" t="s">
        <v>107</v>
      </c>
      <c r="I88" s="13" t="s">
        <v>108</v>
      </c>
    </row>
    <row r="89" spans="1:9" ht="16.5">
      <c r="A89" s="6" t="s">
        <v>285</v>
      </c>
      <c r="B89" s="14" t="s">
        <v>154</v>
      </c>
      <c r="C89" s="28" t="s">
        <v>286</v>
      </c>
      <c r="D89" s="9"/>
      <c r="E89" s="10" t="s">
        <v>106</v>
      </c>
      <c r="F89" s="11">
        <v>10000</v>
      </c>
      <c r="G89" s="12">
        <v>0.01</v>
      </c>
      <c r="H89" s="13" t="s">
        <v>107</v>
      </c>
      <c r="I89" s="13" t="s">
        <v>108</v>
      </c>
    </row>
    <row r="90" spans="1:9" ht="16.5">
      <c r="A90" s="15" t="s">
        <v>287</v>
      </c>
      <c r="B90" s="14"/>
      <c r="C90" s="29" t="s">
        <v>288</v>
      </c>
      <c r="D90" s="9"/>
      <c r="E90" s="17" t="s">
        <v>106</v>
      </c>
      <c r="F90" s="18">
        <v>10000</v>
      </c>
      <c r="G90" s="18">
        <v>0.01</v>
      </c>
      <c r="H90" s="13" t="s">
        <v>107</v>
      </c>
      <c r="I90" s="13" t="s">
        <v>108</v>
      </c>
    </row>
    <row r="91" spans="1:9" ht="16.5">
      <c r="A91" s="6" t="s">
        <v>73</v>
      </c>
      <c r="B91" s="14"/>
      <c r="C91" s="28" t="s">
        <v>72</v>
      </c>
      <c r="D91" s="9"/>
      <c r="E91" s="10" t="s">
        <v>106</v>
      </c>
      <c r="F91" s="11">
        <v>10000</v>
      </c>
      <c r="G91" s="12">
        <v>0.01</v>
      </c>
      <c r="H91" s="13" t="s">
        <v>107</v>
      </c>
      <c r="I91" s="13" t="s">
        <v>108</v>
      </c>
    </row>
    <row r="92" spans="1:9" ht="16.5">
      <c r="A92" s="6" t="s">
        <v>289</v>
      </c>
      <c r="B92" s="14"/>
      <c r="C92" s="28" t="s">
        <v>290</v>
      </c>
      <c r="D92" s="9"/>
      <c r="E92" s="10" t="s">
        <v>106</v>
      </c>
      <c r="F92" s="11">
        <v>10000</v>
      </c>
      <c r="G92" s="12">
        <v>0.01</v>
      </c>
      <c r="H92" s="13" t="s">
        <v>107</v>
      </c>
      <c r="I92" s="13" t="s">
        <v>108</v>
      </c>
    </row>
    <row r="93" spans="1:9" ht="16.5">
      <c r="A93" s="6" t="s">
        <v>291</v>
      </c>
      <c r="B93" s="14"/>
      <c r="C93" s="28" t="s">
        <v>292</v>
      </c>
      <c r="D93" s="9"/>
      <c r="E93" s="10" t="s">
        <v>106</v>
      </c>
      <c r="F93" s="11">
        <v>10000</v>
      </c>
      <c r="G93" s="12">
        <v>0.01</v>
      </c>
      <c r="H93" s="13" t="s">
        <v>107</v>
      </c>
      <c r="I93" s="13" t="s">
        <v>108</v>
      </c>
    </row>
    <row r="94" spans="1:9" ht="16.5">
      <c r="A94" s="6" t="s">
        <v>293</v>
      </c>
      <c r="B94" s="14"/>
      <c r="C94" s="28" t="s">
        <v>294</v>
      </c>
      <c r="D94" s="9"/>
      <c r="E94" s="10" t="s">
        <v>106</v>
      </c>
      <c r="F94" s="11">
        <v>10000</v>
      </c>
      <c r="G94" s="12">
        <v>0.01</v>
      </c>
      <c r="H94" s="13" t="s">
        <v>107</v>
      </c>
      <c r="I94" s="13" t="s">
        <v>108</v>
      </c>
    </row>
    <row r="95" spans="1:9" ht="16.5">
      <c r="A95" s="6" t="s">
        <v>295</v>
      </c>
      <c r="B95" s="14"/>
      <c r="C95" s="28" t="s">
        <v>296</v>
      </c>
      <c r="D95" s="9"/>
      <c r="E95" s="10" t="s">
        <v>106</v>
      </c>
      <c r="F95" s="11">
        <v>10000</v>
      </c>
      <c r="G95" s="12">
        <v>0.01</v>
      </c>
      <c r="H95" s="13" t="s">
        <v>108</v>
      </c>
      <c r="I95" s="13" t="s">
        <v>108</v>
      </c>
    </row>
    <row r="96" spans="1:9" ht="16.5">
      <c r="A96" s="6" t="s">
        <v>297</v>
      </c>
      <c r="B96" s="14"/>
      <c r="C96" s="28" t="s">
        <v>298</v>
      </c>
      <c r="D96" s="9"/>
      <c r="E96" s="10" t="s">
        <v>106</v>
      </c>
      <c r="F96" s="11">
        <v>10000</v>
      </c>
      <c r="G96" s="12">
        <v>0.01</v>
      </c>
      <c r="H96" s="13" t="s">
        <v>108</v>
      </c>
      <c r="I96" s="13" t="s">
        <v>108</v>
      </c>
    </row>
    <row r="97" spans="1:9" ht="16.5">
      <c r="A97" s="15" t="s">
        <v>32</v>
      </c>
      <c r="B97" s="14"/>
      <c r="C97" s="29" t="s">
        <v>31</v>
      </c>
      <c r="D97" s="9"/>
      <c r="E97" s="17" t="s">
        <v>106</v>
      </c>
      <c r="F97" s="18">
        <v>10000</v>
      </c>
      <c r="G97" s="18">
        <v>0.01</v>
      </c>
      <c r="H97" s="13" t="s">
        <v>107</v>
      </c>
      <c r="I97" s="13" t="s">
        <v>108</v>
      </c>
    </row>
    <row r="98" spans="1:9" ht="16.5">
      <c r="A98" s="6" t="s">
        <v>299</v>
      </c>
      <c r="B98" s="14"/>
      <c r="C98" s="28" t="s">
        <v>300</v>
      </c>
      <c r="D98" s="9"/>
      <c r="E98" s="10" t="s">
        <v>106</v>
      </c>
      <c r="F98" s="11">
        <v>10000</v>
      </c>
      <c r="G98" s="12">
        <v>0.01</v>
      </c>
      <c r="H98" s="13" t="s">
        <v>107</v>
      </c>
      <c r="I98" s="13" t="s">
        <v>108</v>
      </c>
    </row>
    <row r="99" spans="1:9" ht="16.5">
      <c r="A99" s="6" t="s">
        <v>301</v>
      </c>
      <c r="B99" s="14"/>
      <c r="C99" s="28" t="s">
        <v>302</v>
      </c>
      <c r="D99" s="9"/>
      <c r="E99" s="10" t="s">
        <v>106</v>
      </c>
      <c r="F99" s="11">
        <v>10000</v>
      </c>
      <c r="G99" s="12">
        <v>0.01</v>
      </c>
      <c r="H99" s="13" t="s">
        <v>108</v>
      </c>
      <c r="I99" s="13" t="s">
        <v>108</v>
      </c>
    </row>
    <row r="100" spans="1:9" ht="16.5">
      <c r="A100" s="6" t="s">
        <v>303</v>
      </c>
      <c r="B100" s="14"/>
      <c r="C100" s="28" t="s">
        <v>304</v>
      </c>
      <c r="D100" s="9"/>
      <c r="E100" s="10" t="s">
        <v>106</v>
      </c>
      <c r="F100" s="11">
        <v>10000</v>
      </c>
      <c r="G100" s="12">
        <v>0.01</v>
      </c>
      <c r="H100" s="13" t="s">
        <v>108</v>
      </c>
      <c r="I100" s="13" t="s">
        <v>108</v>
      </c>
    </row>
    <row r="101" spans="1:9" ht="16.5">
      <c r="A101" s="6" t="s">
        <v>305</v>
      </c>
      <c r="B101" s="14"/>
      <c r="C101" s="28" t="s">
        <v>306</v>
      </c>
      <c r="D101" s="9"/>
      <c r="E101" s="10" t="s">
        <v>106</v>
      </c>
      <c r="F101" s="11">
        <v>10000</v>
      </c>
      <c r="G101" s="12">
        <v>0.01</v>
      </c>
      <c r="H101" s="13" t="s">
        <v>108</v>
      </c>
      <c r="I101" s="13" t="s">
        <v>108</v>
      </c>
    </row>
    <row r="102" spans="1:9" ht="16.5">
      <c r="A102" s="6" t="s">
        <v>307</v>
      </c>
      <c r="B102" s="14"/>
      <c r="C102" s="28" t="s">
        <v>308</v>
      </c>
      <c r="D102" s="9"/>
      <c r="E102" s="10" t="s">
        <v>106</v>
      </c>
      <c r="F102" s="11">
        <v>10000</v>
      </c>
      <c r="G102" s="12">
        <v>0.01</v>
      </c>
      <c r="H102" s="13" t="s">
        <v>108</v>
      </c>
      <c r="I102" s="13" t="s">
        <v>108</v>
      </c>
    </row>
    <row r="103" spans="1:9" ht="16.5">
      <c r="A103" s="6" t="s">
        <v>309</v>
      </c>
      <c r="B103" s="14"/>
      <c r="C103" s="29" t="s">
        <v>310</v>
      </c>
      <c r="D103" s="9"/>
      <c r="E103" s="17" t="s">
        <v>106</v>
      </c>
      <c r="F103" s="18">
        <v>10000</v>
      </c>
      <c r="G103" s="18">
        <v>0.01</v>
      </c>
      <c r="H103" s="13" t="s">
        <v>108</v>
      </c>
      <c r="I103" s="13" t="s">
        <v>108</v>
      </c>
    </row>
    <row r="104" spans="1:9" ht="16.5">
      <c r="A104" s="6" t="s">
        <v>311</v>
      </c>
      <c r="B104" s="14"/>
      <c r="C104" s="9" t="s">
        <v>312</v>
      </c>
      <c r="D104" s="9"/>
      <c r="E104" s="17" t="s">
        <v>106</v>
      </c>
      <c r="F104" s="18">
        <v>10000</v>
      </c>
      <c r="G104" s="18">
        <v>0.01</v>
      </c>
      <c r="H104" s="13" t="s">
        <v>108</v>
      </c>
      <c r="I104" s="13" t="s">
        <v>108</v>
      </c>
    </row>
    <row r="105" spans="1:9" ht="16.5">
      <c r="A105" s="6" t="s">
        <v>313</v>
      </c>
      <c r="B105" s="14"/>
      <c r="C105" s="9" t="s">
        <v>314</v>
      </c>
      <c r="D105" s="9"/>
      <c r="E105" s="10" t="s">
        <v>106</v>
      </c>
      <c r="F105" s="18">
        <v>10000</v>
      </c>
      <c r="G105" s="18">
        <v>0.01</v>
      </c>
      <c r="H105" s="13" t="s">
        <v>108</v>
      </c>
      <c r="I105" s="13" t="s">
        <v>108</v>
      </c>
    </row>
    <row r="106" spans="1:9" ht="16.5">
      <c r="A106" s="6" t="s">
        <v>315</v>
      </c>
      <c r="B106" s="14"/>
      <c r="C106" s="9" t="s">
        <v>316</v>
      </c>
      <c r="D106" s="9"/>
      <c r="E106" s="17" t="s">
        <v>106</v>
      </c>
      <c r="F106" s="18">
        <v>10000</v>
      </c>
      <c r="G106" s="18">
        <v>0.01</v>
      </c>
      <c r="H106" s="13" t="s">
        <v>108</v>
      </c>
      <c r="I106" s="13" t="s">
        <v>108</v>
      </c>
    </row>
    <row r="107" spans="1:9" ht="16.5">
      <c r="A107" s="6" t="s">
        <v>317</v>
      </c>
      <c r="B107" s="14"/>
      <c r="C107" s="9" t="s">
        <v>318</v>
      </c>
      <c r="D107" s="9"/>
      <c r="E107" s="10" t="s">
        <v>106</v>
      </c>
      <c r="F107" s="18">
        <v>10000</v>
      </c>
      <c r="G107" s="18">
        <v>0.01</v>
      </c>
      <c r="H107" s="13" t="s">
        <v>108</v>
      </c>
      <c r="I107" s="13" t="s">
        <v>108</v>
      </c>
    </row>
    <row r="108" spans="1:9" ht="16.5">
      <c r="A108" s="6" t="s">
        <v>319</v>
      </c>
      <c r="B108" s="14"/>
      <c r="C108" s="9" t="s">
        <v>320</v>
      </c>
      <c r="D108" s="9"/>
      <c r="E108" s="17" t="s">
        <v>106</v>
      </c>
      <c r="F108" s="18">
        <v>10000</v>
      </c>
      <c r="G108" s="18">
        <v>0.01</v>
      </c>
      <c r="H108" s="13" t="s">
        <v>108</v>
      </c>
      <c r="I108" s="13" t="s">
        <v>108</v>
      </c>
    </row>
    <row r="109" spans="1:9" ht="16.5">
      <c r="A109" s="6" t="s">
        <v>321</v>
      </c>
      <c r="B109" s="14" t="s">
        <v>162</v>
      </c>
      <c r="C109" s="9" t="s">
        <v>322</v>
      </c>
      <c r="D109" s="9"/>
      <c r="E109" s="10" t="s">
        <v>106</v>
      </c>
      <c r="F109" s="18">
        <v>10000</v>
      </c>
      <c r="G109" s="18">
        <v>0.01</v>
      </c>
      <c r="H109" s="13" t="s">
        <v>107</v>
      </c>
      <c r="I109" s="13" t="s">
        <v>108</v>
      </c>
    </row>
    <row r="110" spans="1:9" ht="16.5">
      <c r="A110" s="6" t="s">
        <v>323</v>
      </c>
      <c r="B110" s="14"/>
      <c r="C110" s="9" t="s">
        <v>324</v>
      </c>
      <c r="D110" s="9"/>
      <c r="E110" s="10" t="s">
        <v>106</v>
      </c>
      <c r="F110" s="18">
        <v>10000</v>
      </c>
      <c r="G110" s="18">
        <v>0.01</v>
      </c>
      <c r="H110" s="13" t="s">
        <v>108</v>
      </c>
      <c r="I110" s="13" t="s">
        <v>108</v>
      </c>
    </row>
    <row r="111" spans="1:9" ht="16.5">
      <c r="A111" s="6" t="s">
        <v>325</v>
      </c>
      <c r="B111" s="14"/>
      <c r="C111" s="29" t="s">
        <v>326</v>
      </c>
      <c r="D111" s="9"/>
      <c r="E111" s="17" t="s">
        <v>106</v>
      </c>
      <c r="F111" s="18">
        <v>10000</v>
      </c>
      <c r="G111" s="18">
        <v>0.01</v>
      </c>
      <c r="H111" s="13" t="s">
        <v>108</v>
      </c>
      <c r="I111" s="13" t="s">
        <v>108</v>
      </c>
    </row>
    <row r="112" spans="1:9" ht="16.5">
      <c r="A112" s="6" t="s">
        <v>327</v>
      </c>
      <c r="B112" s="14"/>
      <c r="C112" s="9" t="s">
        <v>328</v>
      </c>
      <c r="D112" s="9"/>
      <c r="E112" s="10" t="s">
        <v>106</v>
      </c>
      <c r="F112" s="18">
        <v>10000</v>
      </c>
      <c r="G112" s="18">
        <v>0.01</v>
      </c>
      <c r="H112" s="13" t="s">
        <v>108</v>
      </c>
      <c r="I112" s="13" t="s">
        <v>108</v>
      </c>
    </row>
    <row r="113" spans="1:9" ht="16.5">
      <c r="A113" s="6" t="s">
        <v>329</v>
      </c>
      <c r="B113" s="14"/>
      <c r="C113" s="9" t="s">
        <v>330</v>
      </c>
      <c r="D113" s="9"/>
      <c r="E113" s="10" t="s">
        <v>106</v>
      </c>
      <c r="F113" s="18">
        <v>10000</v>
      </c>
      <c r="G113" s="18">
        <v>0.01</v>
      </c>
      <c r="H113" s="13" t="s">
        <v>108</v>
      </c>
      <c r="I113" s="13" t="s">
        <v>108</v>
      </c>
    </row>
    <row r="114" spans="1:9" ht="16.5">
      <c r="A114" s="24" t="s">
        <v>331</v>
      </c>
      <c r="B114" s="33"/>
      <c r="C114" s="31" t="s">
        <v>332</v>
      </c>
      <c r="D114" s="9"/>
      <c r="E114" s="17" t="s">
        <v>106</v>
      </c>
      <c r="F114" s="18">
        <v>10000</v>
      </c>
      <c r="G114" s="18">
        <v>0.01</v>
      </c>
      <c r="H114" s="13" t="s">
        <v>108</v>
      </c>
      <c r="I114" s="13" t="s">
        <v>108</v>
      </c>
    </row>
    <row r="115" spans="1:9" ht="16.5">
      <c r="A115" s="6" t="s">
        <v>333</v>
      </c>
      <c r="B115" s="34"/>
      <c r="C115" s="9" t="s">
        <v>334</v>
      </c>
      <c r="D115" s="9"/>
      <c r="E115" s="10" t="s">
        <v>106</v>
      </c>
      <c r="F115" s="18">
        <v>10000</v>
      </c>
      <c r="G115" s="18">
        <v>0.01</v>
      </c>
      <c r="H115" s="13" t="s">
        <v>108</v>
      </c>
      <c r="I115" s="13" t="s">
        <v>108</v>
      </c>
    </row>
    <row r="116" spans="1:9" ht="16.5">
      <c r="A116" s="6" t="s">
        <v>335</v>
      </c>
      <c r="B116" s="34"/>
      <c r="C116" s="9" t="s">
        <v>336</v>
      </c>
      <c r="D116" s="9"/>
      <c r="E116" s="17" t="s">
        <v>106</v>
      </c>
      <c r="F116" s="18">
        <v>10000</v>
      </c>
      <c r="G116" s="18">
        <v>0.01</v>
      </c>
      <c r="H116" s="13" t="s">
        <v>107</v>
      </c>
      <c r="I116" s="13" t="s">
        <v>108</v>
      </c>
    </row>
    <row r="117" spans="1:9" ht="16.5">
      <c r="A117" s="6" t="s">
        <v>337</v>
      </c>
      <c r="B117" s="34"/>
      <c r="C117" s="9" t="s">
        <v>338</v>
      </c>
      <c r="D117" s="9"/>
      <c r="E117" s="10" t="s">
        <v>106</v>
      </c>
      <c r="F117" s="18">
        <v>10000</v>
      </c>
      <c r="G117" s="18">
        <v>0.01</v>
      </c>
      <c r="H117" s="13" t="s">
        <v>108</v>
      </c>
      <c r="I117" s="13" t="s">
        <v>108</v>
      </c>
    </row>
    <row r="118" spans="1:9" ht="16.5">
      <c r="A118" s="6" t="s">
        <v>339</v>
      </c>
      <c r="B118" s="34"/>
      <c r="C118" s="9" t="s">
        <v>340</v>
      </c>
      <c r="D118" s="9"/>
      <c r="E118" s="10" t="s">
        <v>106</v>
      </c>
      <c r="F118" s="18">
        <v>10000</v>
      </c>
      <c r="G118" s="18">
        <v>0.01</v>
      </c>
      <c r="H118" s="13" t="s">
        <v>107</v>
      </c>
      <c r="I118" s="13" t="s">
        <v>108</v>
      </c>
    </row>
    <row r="119" spans="1:9" ht="16.5">
      <c r="A119" s="6" t="s">
        <v>341</v>
      </c>
      <c r="B119" s="34"/>
      <c r="C119" s="9" t="s">
        <v>342</v>
      </c>
      <c r="D119" s="9"/>
      <c r="E119" s="17" t="s">
        <v>106</v>
      </c>
      <c r="F119" s="18">
        <v>10000</v>
      </c>
      <c r="G119" s="18">
        <v>0.01</v>
      </c>
      <c r="H119" s="13" t="s">
        <v>108</v>
      </c>
      <c r="I119" s="13" t="s">
        <v>108</v>
      </c>
    </row>
    <row r="120" spans="1:9" ht="16.5">
      <c r="A120" s="6" t="s">
        <v>343</v>
      </c>
      <c r="B120" s="34"/>
      <c r="C120" s="9" t="s">
        <v>344</v>
      </c>
      <c r="D120" s="9"/>
      <c r="E120" s="17" t="s">
        <v>106</v>
      </c>
      <c r="F120" s="18">
        <v>10000</v>
      </c>
      <c r="G120" s="18">
        <v>0.01</v>
      </c>
      <c r="H120" s="13" t="s">
        <v>107</v>
      </c>
      <c r="I120" s="13" t="s">
        <v>108</v>
      </c>
    </row>
    <row r="121" spans="1:9" ht="16.5">
      <c r="A121" s="6" t="s">
        <v>34</v>
      </c>
      <c r="B121" s="34"/>
      <c r="C121" s="9" t="s">
        <v>33</v>
      </c>
      <c r="D121" s="9"/>
      <c r="E121" s="17" t="s">
        <v>106</v>
      </c>
      <c r="F121" s="18">
        <v>10000</v>
      </c>
      <c r="G121" s="18">
        <v>0.01</v>
      </c>
      <c r="H121" s="13" t="s">
        <v>108</v>
      </c>
      <c r="I121" s="13" t="s">
        <v>108</v>
      </c>
    </row>
    <row r="122" spans="1:9" ht="16.5">
      <c r="A122" s="15" t="s">
        <v>345</v>
      </c>
      <c r="B122" s="34" t="s">
        <v>154</v>
      </c>
      <c r="C122" s="29" t="s">
        <v>346</v>
      </c>
      <c r="D122" s="9"/>
      <c r="E122" s="17" t="s">
        <v>106</v>
      </c>
      <c r="F122" s="18">
        <v>10000</v>
      </c>
      <c r="G122" s="18">
        <v>0.01</v>
      </c>
      <c r="H122" s="13" t="s">
        <v>108</v>
      </c>
      <c r="I122" s="13" t="s">
        <v>108</v>
      </c>
    </row>
    <row r="123" spans="1:9" ht="16.5">
      <c r="A123" s="15" t="s">
        <v>347</v>
      </c>
      <c r="B123" s="34"/>
      <c r="C123" s="29" t="s">
        <v>348</v>
      </c>
      <c r="D123" s="9"/>
      <c r="E123" s="17" t="s">
        <v>106</v>
      </c>
      <c r="F123" s="18">
        <v>10000</v>
      </c>
      <c r="G123" s="18">
        <v>0.01</v>
      </c>
      <c r="H123" s="13" t="s">
        <v>107</v>
      </c>
      <c r="I123" s="13" t="s">
        <v>108</v>
      </c>
    </row>
    <row r="124" spans="1:9" ht="16.5">
      <c r="A124" s="15" t="s">
        <v>349</v>
      </c>
      <c r="B124" s="34" t="s">
        <v>154</v>
      </c>
      <c r="C124" s="29" t="s">
        <v>350</v>
      </c>
      <c r="D124" s="9"/>
      <c r="E124" s="17" t="s">
        <v>106</v>
      </c>
      <c r="F124" s="18">
        <v>10000</v>
      </c>
      <c r="G124" s="18">
        <v>0.01</v>
      </c>
      <c r="H124" s="13" t="s">
        <v>107</v>
      </c>
      <c r="I124" s="13" t="s">
        <v>108</v>
      </c>
    </row>
    <row r="125" spans="1:9" ht="16.5">
      <c r="A125" s="6" t="s">
        <v>351</v>
      </c>
      <c r="B125" s="34" t="s">
        <v>352</v>
      </c>
      <c r="C125" s="9" t="s">
        <v>353</v>
      </c>
      <c r="D125" s="9"/>
      <c r="E125" s="10" t="s">
        <v>106</v>
      </c>
      <c r="F125" s="21">
        <v>10000</v>
      </c>
      <c r="G125" s="22">
        <v>0.01</v>
      </c>
      <c r="H125" s="13"/>
      <c r="I125" s="13"/>
    </row>
    <row r="126" spans="1:9" ht="16.5">
      <c r="A126" s="15" t="s">
        <v>354</v>
      </c>
      <c r="B126" s="34" t="s">
        <v>154</v>
      </c>
      <c r="C126" s="29" t="s">
        <v>355</v>
      </c>
      <c r="D126" s="9"/>
      <c r="E126" s="17" t="s">
        <v>106</v>
      </c>
      <c r="F126" s="18">
        <v>10000</v>
      </c>
      <c r="G126" s="18">
        <v>0.01</v>
      </c>
      <c r="H126" s="13" t="s">
        <v>107</v>
      </c>
      <c r="I126" s="13" t="s">
        <v>108</v>
      </c>
    </row>
    <row r="127" spans="1:9" ht="16.5">
      <c r="A127" s="6" t="s">
        <v>356</v>
      </c>
      <c r="B127" s="34"/>
      <c r="C127" s="28" t="s">
        <v>357</v>
      </c>
      <c r="D127" s="9"/>
      <c r="E127" s="10" t="s">
        <v>106</v>
      </c>
      <c r="F127" s="11">
        <v>10000</v>
      </c>
      <c r="G127" s="12">
        <v>0.01</v>
      </c>
      <c r="H127" s="13" t="s">
        <v>107</v>
      </c>
      <c r="I127" s="13" t="s">
        <v>108</v>
      </c>
    </row>
    <row r="128" spans="1:9" ht="16.5">
      <c r="A128" s="6" t="s">
        <v>358</v>
      </c>
      <c r="B128" s="34"/>
      <c r="C128" s="9" t="s">
        <v>359</v>
      </c>
      <c r="D128" s="9"/>
      <c r="E128" s="10" t="s">
        <v>106</v>
      </c>
      <c r="F128" s="21">
        <v>10000</v>
      </c>
      <c r="G128" s="35">
        <v>0.01</v>
      </c>
      <c r="H128" s="13" t="s">
        <v>107</v>
      </c>
      <c r="I128" s="13" t="s">
        <v>108</v>
      </c>
    </row>
    <row r="129" spans="1:9" ht="16.5">
      <c r="A129" s="6" t="s">
        <v>360</v>
      </c>
      <c r="B129" s="34" t="s">
        <v>361</v>
      </c>
      <c r="C129" s="29" t="s">
        <v>362</v>
      </c>
      <c r="D129" s="9"/>
      <c r="E129" s="17" t="s">
        <v>106</v>
      </c>
      <c r="F129" s="18">
        <v>10000</v>
      </c>
      <c r="G129" s="18">
        <v>0.01</v>
      </c>
      <c r="H129" s="13" t="s">
        <v>107</v>
      </c>
      <c r="I129" s="13" t="s">
        <v>108</v>
      </c>
    </row>
    <row r="130" spans="1:9" ht="16.5">
      <c r="A130" s="6" t="s">
        <v>363</v>
      </c>
      <c r="B130" s="34" t="s">
        <v>364</v>
      </c>
      <c r="C130" s="28" t="s">
        <v>365</v>
      </c>
      <c r="D130" s="9"/>
      <c r="E130" s="10" t="s">
        <v>106</v>
      </c>
      <c r="F130" s="11">
        <v>10000</v>
      </c>
      <c r="G130" s="12">
        <v>0.01</v>
      </c>
      <c r="H130" s="13" t="s">
        <v>108</v>
      </c>
      <c r="I130" s="13" t="s">
        <v>108</v>
      </c>
    </row>
    <row r="131" spans="1:9" ht="16.5">
      <c r="A131" s="6" t="s">
        <v>366</v>
      </c>
      <c r="B131" s="34"/>
      <c r="C131" s="28" t="s">
        <v>367</v>
      </c>
      <c r="D131" s="9"/>
      <c r="E131" s="10" t="s">
        <v>106</v>
      </c>
      <c r="F131" s="11">
        <v>10000</v>
      </c>
      <c r="G131" s="12">
        <v>0.01</v>
      </c>
      <c r="H131" s="13" t="s">
        <v>107</v>
      </c>
      <c r="I131" s="13" t="s">
        <v>108</v>
      </c>
    </row>
    <row r="132" spans="1:9" ht="16.5">
      <c r="A132" s="6" t="s">
        <v>368</v>
      </c>
      <c r="B132" s="34" t="s">
        <v>361</v>
      </c>
      <c r="C132" s="29" t="s">
        <v>369</v>
      </c>
      <c r="D132" s="9"/>
      <c r="E132" s="17" t="s">
        <v>106</v>
      </c>
      <c r="F132" s="18">
        <v>10000</v>
      </c>
      <c r="G132" s="18">
        <v>0.01</v>
      </c>
      <c r="H132" s="13" t="s">
        <v>107</v>
      </c>
      <c r="I132" s="13" t="s">
        <v>108</v>
      </c>
    </row>
    <row r="133" spans="1:9" ht="16.5">
      <c r="A133" s="6" t="s">
        <v>370</v>
      </c>
      <c r="B133" s="34"/>
      <c r="C133" s="9" t="s">
        <v>371</v>
      </c>
      <c r="D133" s="9"/>
      <c r="E133" s="17" t="s">
        <v>106</v>
      </c>
      <c r="F133" s="18">
        <v>10000</v>
      </c>
      <c r="G133" s="18">
        <v>0.01</v>
      </c>
      <c r="H133" s="13" t="s">
        <v>107</v>
      </c>
      <c r="I133" s="13" t="s">
        <v>108</v>
      </c>
    </row>
    <row r="134" spans="1:9" ht="16.5">
      <c r="A134" s="6" t="s">
        <v>372</v>
      </c>
      <c r="B134" s="34"/>
      <c r="C134" s="9" t="s">
        <v>373</v>
      </c>
      <c r="D134" s="9"/>
      <c r="E134" s="17" t="s">
        <v>106</v>
      </c>
      <c r="F134" s="18">
        <v>10000</v>
      </c>
      <c r="G134" s="18">
        <v>0.01</v>
      </c>
      <c r="H134" s="13" t="s">
        <v>108</v>
      </c>
      <c r="I134" s="13" t="s">
        <v>108</v>
      </c>
    </row>
    <row r="135" spans="1:9" ht="16.5">
      <c r="A135" s="6" t="s">
        <v>374</v>
      </c>
      <c r="B135" s="34"/>
      <c r="C135" s="29" t="s">
        <v>375</v>
      </c>
      <c r="D135" s="9"/>
      <c r="E135" s="17" t="s">
        <v>106</v>
      </c>
      <c r="F135" s="18">
        <v>10000</v>
      </c>
      <c r="G135" s="18">
        <v>0.01</v>
      </c>
      <c r="H135" s="13" t="s">
        <v>107</v>
      </c>
      <c r="I135" s="13" t="s">
        <v>108</v>
      </c>
    </row>
    <row r="136" spans="1:9" ht="16.5">
      <c r="A136" s="6" t="s">
        <v>376</v>
      </c>
      <c r="B136" s="34"/>
      <c r="C136" s="29" t="s">
        <v>377</v>
      </c>
      <c r="D136" s="9"/>
      <c r="E136" s="17" t="s">
        <v>106</v>
      </c>
      <c r="F136" s="18">
        <v>10000</v>
      </c>
      <c r="G136" s="18">
        <v>0.01</v>
      </c>
      <c r="H136" s="13" t="s">
        <v>107</v>
      </c>
      <c r="I136" s="13" t="s">
        <v>108</v>
      </c>
    </row>
    <row r="137" spans="1:9" ht="16.5">
      <c r="A137" s="6" t="s">
        <v>378</v>
      </c>
      <c r="B137" s="34" t="s">
        <v>379</v>
      </c>
      <c r="C137" s="28" t="s">
        <v>380</v>
      </c>
      <c r="D137" s="9"/>
      <c r="E137" s="10" t="s">
        <v>106</v>
      </c>
      <c r="F137" s="11">
        <v>10000</v>
      </c>
      <c r="G137" s="12">
        <v>0.01</v>
      </c>
      <c r="H137" s="13" t="s">
        <v>108</v>
      </c>
      <c r="I137" s="13" t="s">
        <v>108</v>
      </c>
    </row>
    <row r="138" spans="1:9" ht="16.5">
      <c r="A138" s="6" t="s">
        <v>381</v>
      </c>
      <c r="B138" s="34" t="s">
        <v>379</v>
      </c>
      <c r="C138" s="28" t="s">
        <v>382</v>
      </c>
      <c r="D138" s="9"/>
      <c r="E138" s="10" t="s">
        <v>106</v>
      </c>
      <c r="F138" s="11">
        <v>10000</v>
      </c>
      <c r="G138" s="12">
        <v>0.01</v>
      </c>
      <c r="H138" s="13" t="s">
        <v>107</v>
      </c>
      <c r="I138" s="13" t="s">
        <v>108</v>
      </c>
    </row>
    <row r="139" spans="1:9" ht="16.5">
      <c r="A139" s="6" t="s">
        <v>383</v>
      </c>
      <c r="B139" s="34"/>
      <c r="C139" s="28" t="s">
        <v>384</v>
      </c>
      <c r="D139" s="9"/>
      <c r="E139" s="10" t="s">
        <v>106</v>
      </c>
      <c r="F139" s="11">
        <v>10000</v>
      </c>
      <c r="G139" s="12">
        <v>0.01</v>
      </c>
      <c r="H139" s="13" t="s">
        <v>108</v>
      </c>
      <c r="I139" s="13" t="s">
        <v>108</v>
      </c>
    </row>
    <row r="140" spans="1:9" ht="16.5">
      <c r="A140" s="15" t="s">
        <v>385</v>
      </c>
      <c r="B140" s="34"/>
      <c r="C140" s="29" t="s">
        <v>386</v>
      </c>
      <c r="D140" s="9"/>
      <c r="E140" s="30" t="s">
        <v>106</v>
      </c>
      <c r="F140" s="18">
        <v>10000</v>
      </c>
      <c r="G140" s="18">
        <v>0.01</v>
      </c>
      <c r="H140" s="13" t="s">
        <v>108</v>
      </c>
      <c r="I140" s="13" t="s">
        <v>108</v>
      </c>
    </row>
    <row r="141" spans="1:9" ht="16.5">
      <c r="A141" s="6" t="s">
        <v>36</v>
      </c>
      <c r="B141" s="34"/>
      <c r="C141" s="28" t="s">
        <v>35</v>
      </c>
      <c r="D141" s="9"/>
      <c r="E141" s="13" t="s">
        <v>106</v>
      </c>
      <c r="F141" s="11">
        <v>10000</v>
      </c>
      <c r="G141" s="12">
        <v>0.01</v>
      </c>
      <c r="H141" s="13" t="s">
        <v>107</v>
      </c>
      <c r="I141" s="13" t="s">
        <v>387</v>
      </c>
    </row>
    <row r="142" spans="1:9" ht="16.5">
      <c r="A142" s="6" t="s">
        <v>38</v>
      </c>
      <c r="B142" s="34"/>
      <c r="C142" s="28" t="s">
        <v>37</v>
      </c>
      <c r="D142" s="9"/>
      <c r="E142" s="13" t="s">
        <v>106</v>
      </c>
      <c r="F142" s="11">
        <v>10000</v>
      </c>
      <c r="G142" s="12">
        <v>0.01</v>
      </c>
      <c r="H142" s="13" t="s">
        <v>108</v>
      </c>
      <c r="I142" s="13" t="s">
        <v>108</v>
      </c>
    </row>
    <row r="143" spans="1:9" ht="16.5">
      <c r="A143" s="15" t="s">
        <v>388</v>
      </c>
      <c r="B143" s="34"/>
      <c r="C143" s="29" t="s">
        <v>389</v>
      </c>
      <c r="D143" s="9"/>
      <c r="E143" s="30" t="s">
        <v>106</v>
      </c>
      <c r="F143" s="18">
        <v>10000</v>
      </c>
      <c r="G143" s="18">
        <v>0.01</v>
      </c>
      <c r="H143" s="13" t="s">
        <v>108</v>
      </c>
      <c r="I143" s="13" t="s">
        <v>108</v>
      </c>
    </row>
    <row r="144" spans="1:9" ht="16.5">
      <c r="A144" s="6" t="s">
        <v>390</v>
      </c>
      <c r="B144" s="34"/>
      <c r="C144" s="9" t="s">
        <v>391</v>
      </c>
      <c r="D144" s="9"/>
      <c r="E144" s="30" t="s">
        <v>106</v>
      </c>
      <c r="F144" s="18">
        <v>10000</v>
      </c>
      <c r="G144" s="18">
        <v>0.01</v>
      </c>
      <c r="H144" s="13" t="s">
        <v>108</v>
      </c>
      <c r="I144" s="13" t="s">
        <v>108</v>
      </c>
    </row>
    <row r="145" spans="1:9" ht="16.5">
      <c r="A145" s="6" t="s">
        <v>392</v>
      </c>
      <c r="B145" s="34"/>
      <c r="C145" s="29" t="s">
        <v>393</v>
      </c>
      <c r="D145" s="9"/>
      <c r="E145" s="30" t="s">
        <v>106</v>
      </c>
      <c r="F145" s="18">
        <v>10000</v>
      </c>
      <c r="G145" s="18">
        <v>0.01</v>
      </c>
      <c r="H145" s="13" t="s">
        <v>108</v>
      </c>
      <c r="I145" s="13" t="s">
        <v>108</v>
      </c>
    </row>
    <row r="146" spans="1:9" ht="16.5">
      <c r="A146" s="6" t="s">
        <v>394</v>
      </c>
      <c r="B146" s="34"/>
      <c r="C146" s="28" t="s">
        <v>395</v>
      </c>
      <c r="D146" s="9"/>
      <c r="E146" s="13" t="s">
        <v>106</v>
      </c>
      <c r="F146" s="11">
        <v>10000</v>
      </c>
      <c r="G146" s="12">
        <v>0.01</v>
      </c>
      <c r="H146" s="13" t="s">
        <v>108</v>
      </c>
      <c r="I146" s="13" t="s">
        <v>108</v>
      </c>
    </row>
    <row r="147" spans="1:9" ht="16.5">
      <c r="A147" s="15" t="s">
        <v>396</v>
      </c>
      <c r="B147" s="34" t="s">
        <v>154</v>
      </c>
      <c r="C147" s="29" t="s">
        <v>397</v>
      </c>
      <c r="D147" s="9"/>
      <c r="E147" s="30" t="s">
        <v>106</v>
      </c>
      <c r="F147" s="18">
        <v>10000</v>
      </c>
      <c r="G147" s="18">
        <v>0.01</v>
      </c>
      <c r="H147" s="13" t="s">
        <v>108</v>
      </c>
      <c r="I147" s="13" t="s">
        <v>108</v>
      </c>
    </row>
    <row r="148" spans="1:9" ht="16.5">
      <c r="A148" s="6" t="s">
        <v>398</v>
      </c>
      <c r="B148" s="34" t="s">
        <v>379</v>
      </c>
      <c r="C148" s="28" t="s">
        <v>399</v>
      </c>
      <c r="D148" s="9"/>
      <c r="E148" s="13" t="s">
        <v>106</v>
      </c>
      <c r="F148" s="11">
        <v>10000</v>
      </c>
      <c r="G148" s="12">
        <v>0.01</v>
      </c>
      <c r="H148" s="13" t="s">
        <v>108</v>
      </c>
      <c r="I148" s="13" t="s">
        <v>108</v>
      </c>
    </row>
    <row r="149" spans="1:9" ht="16.5">
      <c r="A149" s="6" t="s">
        <v>400</v>
      </c>
      <c r="B149" s="34"/>
      <c r="C149" s="9" t="s">
        <v>401</v>
      </c>
      <c r="D149" s="9"/>
      <c r="E149" s="13" t="s">
        <v>106</v>
      </c>
      <c r="F149" s="18">
        <v>10000</v>
      </c>
      <c r="G149" s="18">
        <v>0.01</v>
      </c>
      <c r="H149" s="13" t="s">
        <v>107</v>
      </c>
      <c r="I149" s="13" t="s">
        <v>108</v>
      </c>
    </row>
    <row r="150" spans="1:9" ht="16.5">
      <c r="A150" s="6" t="s">
        <v>402</v>
      </c>
      <c r="B150" s="34"/>
      <c r="C150" s="9" t="s">
        <v>403</v>
      </c>
      <c r="D150" s="9"/>
      <c r="E150" s="13" t="s">
        <v>106</v>
      </c>
      <c r="F150" s="18">
        <v>10000</v>
      </c>
      <c r="G150" s="18">
        <v>0.01</v>
      </c>
      <c r="H150" s="13" t="s">
        <v>107</v>
      </c>
      <c r="I150" s="13" t="s">
        <v>108</v>
      </c>
    </row>
    <row r="151" spans="1:9" ht="16.5">
      <c r="A151" s="6" t="s">
        <v>404</v>
      </c>
      <c r="B151" s="34"/>
      <c r="C151" s="28" t="s">
        <v>405</v>
      </c>
      <c r="D151" s="9"/>
      <c r="E151" s="13" t="s">
        <v>106</v>
      </c>
      <c r="F151" s="11">
        <v>10000</v>
      </c>
      <c r="G151" s="12">
        <v>0.01</v>
      </c>
      <c r="H151" s="13" t="s">
        <v>107</v>
      </c>
      <c r="I151" s="13" t="s">
        <v>108</v>
      </c>
    </row>
    <row r="152" spans="1:9" ht="16.5">
      <c r="A152" s="6" t="s">
        <v>406</v>
      </c>
      <c r="B152" s="34" t="s">
        <v>237</v>
      </c>
      <c r="C152" s="9" t="s">
        <v>407</v>
      </c>
      <c r="D152" s="9"/>
      <c r="E152" s="13" t="s">
        <v>106</v>
      </c>
      <c r="F152" s="18">
        <v>10000</v>
      </c>
      <c r="G152" s="18">
        <v>0.01</v>
      </c>
      <c r="H152" s="13" t="s">
        <v>108</v>
      </c>
      <c r="I152" s="13" t="s">
        <v>108</v>
      </c>
    </row>
    <row r="153" spans="1:9" ht="16.5">
      <c r="A153" s="6" t="s">
        <v>408</v>
      </c>
      <c r="B153" s="34"/>
      <c r="C153" s="28" t="s">
        <v>409</v>
      </c>
      <c r="D153" s="9"/>
      <c r="E153" s="13" t="s">
        <v>106</v>
      </c>
      <c r="F153" s="11">
        <v>10000</v>
      </c>
      <c r="G153" s="12">
        <v>0.01</v>
      </c>
      <c r="H153" s="13" t="s">
        <v>108</v>
      </c>
      <c r="I153" s="13" t="s">
        <v>108</v>
      </c>
    </row>
    <row r="154" spans="1:9" ht="16.5">
      <c r="A154" s="15" t="s">
        <v>410</v>
      </c>
      <c r="B154" s="34"/>
      <c r="C154" s="29" t="s">
        <v>411</v>
      </c>
      <c r="D154" s="9"/>
      <c r="E154" s="30" t="s">
        <v>106</v>
      </c>
      <c r="F154" s="18">
        <v>10000</v>
      </c>
      <c r="G154" s="18">
        <v>0.01</v>
      </c>
      <c r="H154" s="13" t="s">
        <v>108</v>
      </c>
      <c r="I154" s="13" t="s">
        <v>108</v>
      </c>
    </row>
    <row r="155" spans="1:9" ht="16.5">
      <c r="A155" s="6" t="s">
        <v>412</v>
      </c>
      <c r="B155" s="34"/>
      <c r="C155" s="28" t="s">
        <v>413</v>
      </c>
      <c r="D155" s="9"/>
      <c r="E155" s="13" t="s">
        <v>106</v>
      </c>
      <c r="F155" s="11">
        <v>10000</v>
      </c>
      <c r="G155" s="12">
        <v>0.01</v>
      </c>
      <c r="H155" s="13" t="s">
        <v>108</v>
      </c>
      <c r="I155" s="13" t="s">
        <v>108</v>
      </c>
    </row>
    <row r="156" spans="1:9" ht="16.5">
      <c r="A156" s="6" t="s">
        <v>414</v>
      </c>
      <c r="B156" s="34"/>
      <c r="C156" s="29" t="s">
        <v>415</v>
      </c>
      <c r="D156" s="9"/>
      <c r="E156" s="30" t="s">
        <v>106</v>
      </c>
      <c r="F156" s="18">
        <v>10000</v>
      </c>
      <c r="G156" s="18">
        <v>0.01</v>
      </c>
      <c r="H156" s="13" t="s">
        <v>107</v>
      </c>
      <c r="I156" s="13" t="s">
        <v>108</v>
      </c>
    </row>
    <row r="157" spans="1:9" ht="16.5">
      <c r="A157" s="6" t="s">
        <v>416</v>
      </c>
      <c r="B157" s="34"/>
      <c r="C157" s="28" t="s">
        <v>417</v>
      </c>
      <c r="D157" s="9"/>
      <c r="E157" s="13" t="s">
        <v>106</v>
      </c>
      <c r="F157" s="11">
        <v>10000</v>
      </c>
      <c r="G157" s="12">
        <v>0.01</v>
      </c>
      <c r="H157" s="13" t="s">
        <v>108</v>
      </c>
      <c r="I157" s="13" t="s">
        <v>108</v>
      </c>
    </row>
    <row r="158" spans="1:9" ht="16.5">
      <c r="A158" s="6" t="s">
        <v>418</v>
      </c>
      <c r="B158" s="34"/>
      <c r="C158" s="9" t="s">
        <v>419</v>
      </c>
      <c r="D158" s="9"/>
      <c r="E158" s="30" t="s">
        <v>106</v>
      </c>
      <c r="F158" s="18">
        <v>10000</v>
      </c>
      <c r="G158" s="18">
        <v>0.01</v>
      </c>
      <c r="H158" s="13" t="s">
        <v>108</v>
      </c>
      <c r="I158" s="13" t="s">
        <v>108</v>
      </c>
    </row>
    <row r="159" spans="1:9" ht="16.5">
      <c r="A159" s="6" t="s">
        <v>420</v>
      </c>
      <c r="B159" s="34"/>
      <c r="C159" s="9" t="s">
        <v>421</v>
      </c>
      <c r="D159" s="9"/>
      <c r="E159" s="13" t="s">
        <v>106</v>
      </c>
      <c r="F159" s="18">
        <v>10000</v>
      </c>
      <c r="G159" s="18">
        <v>0.01</v>
      </c>
      <c r="H159" s="13" t="s">
        <v>107</v>
      </c>
      <c r="I159" s="13" t="s">
        <v>108</v>
      </c>
    </row>
    <row r="160" spans="1:9" ht="16.5">
      <c r="A160" s="6" t="s">
        <v>422</v>
      </c>
      <c r="B160" s="34"/>
      <c r="C160" s="28" t="s">
        <v>423</v>
      </c>
      <c r="D160" s="9"/>
      <c r="E160" s="13" t="s">
        <v>106</v>
      </c>
      <c r="F160" s="11">
        <v>10000</v>
      </c>
      <c r="G160" s="12">
        <v>0.01</v>
      </c>
      <c r="H160" s="13" t="s">
        <v>107</v>
      </c>
      <c r="I160" s="13" t="s">
        <v>108</v>
      </c>
    </row>
    <row r="161" spans="1:9" ht="16.5">
      <c r="A161" s="6" t="s">
        <v>424</v>
      </c>
      <c r="B161" s="34"/>
      <c r="C161" s="29" t="s">
        <v>425</v>
      </c>
      <c r="D161" s="9"/>
      <c r="E161" s="30" t="s">
        <v>106</v>
      </c>
      <c r="F161" s="18">
        <v>10000</v>
      </c>
      <c r="G161" s="18">
        <v>0.01</v>
      </c>
      <c r="H161" s="13" t="s">
        <v>107</v>
      </c>
      <c r="I161" s="13" t="s">
        <v>108</v>
      </c>
    </row>
    <row r="162" spans="1:9" ht="16.5">
      <c r="A162" s="6" t="s">
        <v>426</v>
      </c>
      <c r="B162" s="34"/>
      <c r="C162" s="29" t="s">
        <v>427</v>
      </c>
      <c r="D162" s="9"/>
      <c r="E162" s="30" t="s">
        <v>106</v>
      </c>
      <c r="F162" s="18">
        <v>10000</v>
      </c>
      <c r="G162" s="18">
        <v>0.01</v>
      </c>
      <c r="H162" s="13" t="s">
        <v>107</v>
      </c>
      <c r="I162" s="13" t="s">
        <v>108</v>
      </c>
    </row>
    <row r="163" spans="1:9" ht="16.5">
      <c r="A163" s="6" t="s">
        <v>428</v>
      </c>
      <c r="B163" s="34"/>
      <c r="C163" s="29" t="s">
        <v>429</v>
      </c>
      <c r="D163" s="9"/>
      <c r="E163" s="30" t="s">
        <v>106</v>
      </c>
      <c r="F163" s="18">
        <v>10000</v>
      </c>
      <c r="G163" s="18">
        <v>0.01</v>
      </c>
      <c r="H163" s="13" t="s">
        <v>108</v>
      </c>
      <c r="I163" s="13" t="s">
        <v>108</v>
      </c>
    </row>
    <row r="164" spans="1:9" ht="16.5">
      <c r="A164" s="6" t="s">
        <v>430</v>
      </c>
      <c r="B164" s="34"/>
      <c r="C164" s="29" t="s">
        <v>431</v>
      </c>
      <c r="D164" s="9"/>
      <c r="E164" s="30" t="s">
        <v>106</v>
      </c>
      <c r="F164" s="18">
        <v>10000</v>
      </c>
      <c r="G164" s="18">
        <v>0.01</v>
      </c>
      <c r="H164" s="13" t="s">
        <v>108</v>
      </c>
      <c r="I164" s="13" t="s">
        <v>108</v>
      </c>
    </row>
    <row r="165" spans="1:9" ht="16.5">
      <c r="A165" s="6" t="s">
        <v>432</v>
      </c>
      <c r="B165" s="34"/>
      <c r="C165" s="9" t="s">
        <v>433</v>
      </c>
      <c r="D165" s="9"/>
      <c r="E165" s="30" t="s">
        <v>106</v>
      </c>
      <c r="F165" s="18">
        <v>10000</v>
      </c>
      <c r="G165" s="18">
        <v>0.01</v>
      </c>
      <c r="H165" s="13" t="s">
        <v>108</v>
      </c>
      <c r="I165" s="13" t="s">
        <v>108</v>
      </c>
    </row>
    <row r="166" spans="1:9" ht="16.5">
      <c r="A166" s="6" t="s">
        <v>434</v>
      </c>
      <c r="B166" s="34"/>
      <c r="C166" s="9" t="s">
        <v>435</v>
      </c>
      <c r="D166" s="9"/>
      <c r="E166" s="13" t="s">
        <v>106</v>
      </c>
      <c r="F166" s="21">
        <v>10000</v>
      </c>
      <c r="G166" s="22">
        <v>0.01</v>
      </c>
      <c r="H166" s="13" t="s">
        <v>107</v>
      </c>
      <c r="I166" s="13" t="s">
        <v>108</v>
      </c>
    </row>
    <row r="167" spans="1:9" ht="16.5">
      <c r="A167" s="15" t="s">
        <v>436</v>
      </c>
      <c r="B167" s="34"/>
      <c r="C167" s="29" t="s">
        <v>437</v>
      </c>
      <c r="D167" s="9"/>
      <c r="E167" s="30" t="s">
        <v>106</v>
      </c>
      <c r="F167" s="18">
        <v>10000</v>
      </c>
      <c r="G167" s="18">
        <v>0.01</v>
      </c>
      <c r="H167" s="13" t="s">
        <v>108</v>
      </c>
      <c r="I167" s="13" t="s">
        <v>108</v>
      </c>
    </row>
    <row r="168" spans="1:9" ht="16.5">
      <c r="A168" s="6" t="s">
        <v>438</v>
      </c>
      <c r="B168" s="34" t="s">
        <v>439</v>
      </c>
      <c r="C168" s="29" t="s">
        <v>440</v>
      </c>
      <c r="D168" s="9"/>
      <c r="E168" s="30" t="s">
        <v>106</v>
      </c>
      <c r="F168" s="18">
        <v>10000</v>
      </c>
      <c r="G168" s="18">
        <v>0.01</v>
      </c>
      <c r="H168" s="13" t="s">
        <v>108</v>
      </c>
      <c r="I168" s="13" t="s">
        <v>108</v>
      </c>
    </row>
    <row r="169" spans="1:9" ht="16.5">
      <c r="A169" s="6" t="s">
        <v>441</v>
      </c>
      <c r="B169" s="34" t="s">
        <v>442</v>
      </c>
      <c r="C169" s="28" t="s">
        <v>443</v>
      </c>
      <c r="D169" s="9"/>
      <c r="E169" s="13" t="s">
        <v>106</v>
      </c>
      <c r="F169" s="11">
        <v>10000</v>
      </c>
      <c r="G169" s="12">
        <v>0.01</v>
      </c>
      <c r="H169" s="13" t="s">
        <v>107</v>
      </c>
      <c r="I169" s="13" t="s">
        <v>108</v>
      </c>
    </row>
    <row r="170" spans="1:9" ht="16.5">
      <c r="A170" s="15" t="s">
        <v>444</v>
      </c>
      <c r="B170" s="34"/>
      <c r="C170" s="29" t="s">
        <v>445</v>
      </c>
      <c r="D170" s="9"/>
      <c r="E170" s="30" t="s">
        <v>106</v>
      </c>
      <c r="F170" s="18">
        <v>10000</v>
      </c>
      <c r="G170" s="18">
        <v>0.01</v>
      </c>
      <c r="H170" s="13"/>
      <c r="I170" s="13" t="s">
        <v>108</v>
      </c>
    </row>
    <row r="171" spans="1:9" ht="16.5">
      <c r="A171" s="6" t="s">
        <v>446</v>
      </c>
      <c r="B171" s="34"/>
      <c r="C171" s="28" t="s">
        <v>447</v>
      </c>
      <c r="D171" s="9"/>
      <c r="E171" s="13" t="s">
        <v>106</v>
      </c>
      <c r="F171" s="11">
        <v>10000</v>
      </c>
      <c r="G171" s="12">
        <v>0.01</v>
      </c>
      <c r="H171" s="23" t="s">
        <v>108</v>
      </c>
      <c r="I171" s="13" t="s">
        <v>108</v>
      </c>
    </row>
    <row r="172" spans="1:9" ht="16.5">
      <c r="A172" s="6" t="s">
        <v>448</v>
      </c>
      <c r="B172" s="34"/>
      <c r="C172" s="28" t="s">
        <v>449</v>
      </c>
      <c r="D172" s="9"/>
      <c r="E172" s="13" t="s">
        <v>106</v>
      </c>
      <c r="F172" s="11">
        <v>10000</v>
      </c>
      <c r="G172" s="12">
        <v>0.01</v>
      </c>
      <c r="H172" s="13" t="s">
        <v>108</v>
      </c>
      <c r="I172" s="13" t="s">
        <v>108</v>
      </c>
    </row>
    <row r="173" spans="1:9" ht="16.5">
      <c r="A173" s="6" t="s">
        <v>450</v>
      </c>
      <c r="B173" s="34"/>
      <c r="C173" s="9" t="s">
        <v>451</v>
      </c>
      <c r="D173" s="9"/>
      <c r="E173" s="30" t="s">
        <v>106</v>
      </c>
      <c r="F173" s="18">
        <v>10000</v>
      </c>
      <c r="G173" s="18">
        <v>0.01</v>
      </c>
      <c r="H173" s="13" t="s">
        <v>108</v>
      </c>
      <c r="I173" s="13" t="s">
        <v>108</v>
      </c>
    </row>
    <row r="174" spans="1:9" ht="16.5">
      <c r="A174" s="6" t="s">
        <v>85</v>
      </c>
      <c r="B174" s="34"/>
      <c r="C174" s="28" t="s">
        <v>84</v>
      </c>
      <c r="D174" s="9"/>
      <c r="E174" s="13" t="s">
        <v>106</v>
      </c>
      <c r="F174" s="11">
        <v>10000</v>
      </c>
      <c r="G174" s="12">
        <v>0.01</v>
      </c>
      <c r="H174" s="13" t="s">
        <v>107</v>
      </c>
      <c r="I174" s="13" t="s">
        <v>108</v>
      </c>
    </row>
    <row r="175" spans="1:9" ht="16.5">
      <c r="A175" s="6" t="s">
        <v>452</v>
      </c>
      <c r="B175" s="34"/>
      <c r="C175" s="28" t="s">
        <v>453</v>
      </c>
      <c r="D175" s="9"/>
      <c r="E175" s="13" t="s">
        <v>106</v>
      </c>
      <c r="F175" s="11">
        <v>10000</v>
      </c>
      <c r="G175" s="12">
        <v>0.01</v>
      </c>
      <c r="H175" s="13" t="s">
        <v>108</v>
      </c>
      <c r="I175" s="13" t="s">
        <v>108</v>
      </c>
    </row>
    <row r="176" spans="1:9" ht="16.5">
      <c r="A176" s="15" t="s">
        <v>454</v>
      </c>
      <c r="B176" s="34" t="s">
        <v>455</v>
      </c>
      <c r="C176" s="29" t="s">
        <v>456</v>
      </c>
      <c r="D176" s="9"/>
      <c r="E176" s="30" t="s">
        <v>106</v>
      </c>
      <c r="F176" s="18">
        <v>10000</v>
      </c>
      <c r="G176" s="18">
        <v>0.01</v>
      </c>
      <c r="H176" s="13" t="s">
        <v>108</v>
      </c>
      <c r="I176" s="13" t="s">
        <v>108</v>
      </c>
    </row>
    <row r="177" spans="1:9" ht="16.5">
      <c r="A177" s="6" t="s">
        <v>457</v>
      </c>
      <c r="B177" s="34" t="s">
        <v>458</v>
      </c>
      <c r="C177" s="28" t="s">
        <v>459</v>
      </c>
      <c r="D177" s="9"/>
      <c r="E177" s="13" t="s">
        <v>106</v>
      </c>
      <c r="F177" s="11">
        <v>10000</v>
      </c>
      <c r="G177" s="12">
        <v>0.01</v>
      </c>
      <c r="H177" s="13" t="s">
        <v>107</v>
      </c>
      <c r="I177" s="13" t="s">
        <v>108</v>
      </c>
    </row>
    <row r="178" spans="1:9" ht="16.5">
      <c r="A178" s="15" t="s">
        <v>460</v>
      </c>
      <c r="B178" s="34"/>
      <c r="C178" s="29" t="s">
        <v>461</v>
      </c>
      <c r="D178" s="9"/>
      <c r="E178" s="30" t="s">
        <v>106</v>
      </c>
      <c r="F178" s="18">
        <v>10000</v>
      </c>
      <c r="G178" s="18">
        <v>0.01</v>
      </c>
      <c r="H178" s="13" t="s">
        <v>107</v>
      </c>
      <c r="I178" s="13" t="s">
        <v>108</v>
      </c>
    </row>
    <row r="179" spans="1:9" ht="16.5">
      <c r="A179" s="6" t="s">
        <v>462</v>
      </c>
      <c r="B179" s="34"/>
      <c r="C179" s="28" t="s">
        <v>463</v>
      </c>
      <c r="D179" s="9"/>
      <c r="E179" s="13" t="s">
        <v>106</v>
      </c>
      <c r="F179" s="11">
        <v>10000</v>
      </c>
      <c r="G179" s="12">
        <v>0.01</v>
      </c>
      <c r="H179" s="13" t="s">
        <v>107</v>
      </c>
      <c r="I179" s="13" t="s">
        <v>108</v>
      </c>
    </row>
    <row r="180" spans="1:9" ht="16.5">
      <c r="A180" s="15" t="s">
        <v>464</v>
      </c>
      <c r="B180" s="34" t="s">
        <v>455</v>
      </c>
      <c r="C180" s="29" t="s">
        <v>465</v>
      </c>
      <c r="D180" s="9"/>
      <c r="E180" s="30" t="s">
        <v>106</v>
      </c>
      <c r="F180" s="18">
        <v>10000</v>
      </c>
      <c r="G180" s="18">
        <v>0.01</v>
      </c>
      <c r="H180" s="13" t="s">
        <v>107</v>
      </c>
      <c r="I180" s="13" t="s">
        <v>108</v>
      </c>
    </row>
    <row r="181" spans="1:9" ht="16.5">
      <c r="A181" s="15" t="s">
        <v>466</v>
      </c>
      <c r="B181" s="34" t="s">
        <v>467</v>
      </c>
      <c r="C181" s="29" t="s">
        <v>468</v>
      </c>
      <c r="D181" s="9"/>
      <c r="E181" s="30" t="s">
        <v>106</v>
      </c>
      <c r="F181" s="18">
        <v>10000</v>
      </c>
      <c r="G181" s="18">
        <v>0.01</v>
      </c>
      <c r="H181" s="13" t="s">
        <v>108</v>
      </c>
      <c r="I181" s="13" t="s">
        <v>108</v>
      </c>
    </row>
    <row r="182" spans="1:9" ht="16.5">
      <c r="A182" s="15" t="s">
        <v>469</v>
      </c>
      <c r="B182" s="34"/>
      <c r="C182" s="29" t="s">
        <v>470</v>
      </c>
      <c r="D182" s="9"/>
      <c r="E182" s="30" t="s">
        <v>106</v>
      </c>
      <c r="F182" s="18">
        <v>10000</v>
      </c>
      <c r="G182" s="18">
        <v>0.01</v>
      </c>
      <c r="H182" s="13" t="s">
        <v>108</v>
      </c>
      <c r="I182" s="13" t="s">
        <v>108</v>
      </c>
    </row>
    <row r="183" spans="1:9" ht="16.5">
      <c r="A183" s="15" t="s">
        <v>471</v>
      </c>
      <c r="B183" s="34"/>
      <c r="C183" s="29" t="s">
        <v>472</v>
      </c>
      <c r="D183" s="9"/>
      <c r="E183" s="30" t="s">
        <v>106</v>
      </c>
      <c r="F183" s="18">
        <v>10000</v>
      </c>
      <c r="G183" s="18">
        <v>0.01</v>
      </c>
      <c r="H183" s="13" t="s">
        <v>107</v>
      </c>
      <c r="I183" s="13" t="s">
        <v>108</v>
      </c>
    </row>
    <row r="184" spans="1:9" ht="16.5">
      <c r="A184" s="15" t="s">
        <v>473</v>
      </c>
      <c r="B184" s="34"/>
      <c r="C184" s="29" t="s">
        <v>474</v>
      </c>
      <c r="D184" s="9"/>
      <c r="E184" s="30" t="s">
        <v>106</v>
      </c>
      <c r="F184" s="18">
        <v>10000</v>
      </c>
      <c r="G184" s="18">
        <v>0.01</v>
      </c>
      <c r="H184" s="13" t="s">
        <v>107</v>
      </c>
      <c r="I184" s="13" t="s">
        <v>108</v>
      </c>
    </row>
    <row r="185" spans="1:9" ht="16.5">
      <c r="A185" s="15" t="s">
        <v>86</v>
      </c>
      <c r="B185" s="34"/>
      <c r="C185" s="29" t="s">
        <v>475</v>
      </c>
      <c r="D185" s="9"/>
      <c r="E185" s="30" t="s">
        <v>106</v>
      </c>
      <c r="F185" s="18">
        <v>10000</v>
      </c>
      <c r="G185" s="18">
        <v>0.01</v>
      </c>
      <c r="H185" s="13" t="s">
        <v>107</v>
      </c>
      <c r="I185" s="13" t="s">
        <v>108</v>
      </c>
    </row>
    <row r="186" spans="1:9" ht="16.5">
      <c r="A186" s="15" t="s">
        <v>92</v>
      </c>
      <c r="B186" s="34"/>
      <c r="C186" s="29" t="s">
        <v>91</v>
      </c>
      <c r="D186" s="9"/>
      <c r="E186" s="30" t="s">
        <v>106</v>
      </c>
      <c r="F186" s="18">
        <v>10000</v>
      </c>
      <c r="G186" s="18">
        <v>0.01</v>
      </c>
      <c r="H186" s="13" t="s">
        <v>108</v>
      </c>
      <c r="I186" s="13" t="s">
        <v>108</v>
      </c>
    </row>
    <row r="187" spans="1:9" ht="16.5">
      <c r="A187" s="6" t="s">
        <v>476</v>
      </c>
      <c r="B187" s="34"/>
      <c r="C187" s="28" t="s">
        <v>477</v>
      </c>
      <c r="D187" s="9"/>
      <c r="E187" s="13" t="s">
        <v>478</v>
      </c>
      <c r="F187" s="11">
        <v>1000</v>
      </c>
      <c r="G187" s="12">
        <v>1E-3</v>
      </c>
      <c r="H187" s="13" t="s">
        <v>107</v>
      </c>
      <c r="I187" s="13"/>
    </row>
    <row r="188" spans="1:9" ht="16.5">
      <c r="A188" s="15" t="s">
        <v>40</v>
      </c>
      <c r="B188" s="34"/>
      <c r="C188" s="29" t="s">
        <v>39</v>
      </c>
      <c r="D188" s="9"/>
      <c r="E188" s="30" t="s">
        <v>478</v>
      </c>
      <c r="F188" s="18">
        <v>50</v>
      </c>
      <c r="G188" s="18">
        <v>1E-3</v>
      </c>
      <c r="H188" s="13"/>
      <c r="I188" s="13"/>
    </row>
    <row r="189" spans="1:9" ht="16.5">
      <c r="A189" s="6" t="s">
        <v>479</v>
      </c>
      <c r="B189" s="34"/>
      <c r="C189" s="29" t="s">
        <v>480</v>
      </c>
      <c r="D189" s="9"/>
      <c r="E189" s="30" t="s">
        <v>478</v>
      </c>
      <c r="F189" s="18">
        <v>100</v>
      </c>
      <c r="G189" s="18">
        <v>0.01</v>
      </c>
      <c r="H189" s="13"/>
      <c r="I189" s="13"/>
    </row>
    <row r="190" spans="1:9" ht="16.5">
      <c r="A190" s="6" t="s">
        <v>42</v>
      </c>
      <c r="B190" s="34"/>
      <c r="C190" s="28" t="s">
        <v>41</v>
      </c>
      <c r="D190" s="9"/>
      <c r="E190" s="13" t="s">
        <v>478</v>
      </c>
      <c r="F190" s="11">
        <v>5</v>
      </c>
      <c r="G190" s="12">
        <v>1E-3</v>
      </c>
      <c r="H190" s="13"/>
      <c r="I190" s="13"/>
    </row>
    <row r="191" spans="1:9" ht="16.5">
      <c r="A191" s="15" t="s">
        <v>481</v>
      </c>
      <c r="B191" s="34"/>
      <c r="C191" s="29" t="s">
        <v>482</v>
      </c>
      <c r="D191" s="9"/>
      <c r="E191" s="30" t="s">
        <v>478</v>
      </c>
      <c r="F191" s="18">
        <v>1000</v>
      </c>
      <c r="G191" s="18">
        <v>0.01</v>
      </c>
      <c r="H191" s="13"/>
      <c r="I191" s="13"/>
    </row>
    <row r="192" spans="1:9" ht="16.5">
      <c r="A192" s="6" t="s">
        <v>483</v>
      </c>
      <c r="B192" s="34"/>
      <c r="C192" s="28" t="s">
        <v>484</v>
      </c>
      <c r="D192" s="9"/>
      <c r="E192" s="13" t="s">
        <v>478</v>
      </c>
      <c r="F192" s="11">
        <v>1000</v>
      </c>
      <c r="G192" s="12">
        <v>0.01</v>
      </c>
      <c r="H192" s="13"/>
      <c r="I192" s="13"/>
    </row>
    <row r="193" spans="1:9" ht="16.5">
      <c r="A193" s="6" t="s">
        <v>485</v>
      </c>
      <c r="B193" s="34"/>
      <c r="C193" s="28" t="s">
        <v>486</v>
      </c>
      <c r="D193" s="9"/>
      <c r="E193" s="13" t="s">
        <v>478</v>
      </c>
      <c r="F193" s="11">
        <v>50</v>
      </c>
      <c r="G193" s="12">
        <v>1E-3</v>
      </c>
      <c r="H193" s="13" t="s">
        <v>108</v>
      </c>
      <c r="I193" s="13" t="s">
        <v>108</v>
      </c>
    </row>
    <row r="194" spans="1:9" ht="16.5">
      <c r="A194" s="6" t="s">
        <v>487</v>
      </c>
      <c r="B194" s="34"/>
      <c r="C194" s="28" t="s">
        <v>488</v>
      </c>
      <c r="D194" s="9"/>
      <c r="E194" s="13" t="s">
        <v>478</v>
      </c>
      <c r="F194" s="11">
        <v>50</v>
      </c>
      <c r="G194" s="12">
        <v>1E-3</v>
      </c>
      <c r="H194" s="13"/>
      <c r="I194" s="13"/>
    </row>
    <row r="195" spans="1:9" ht="16.5">
      <c r="A195" s="15" t="s">
        <v>489</v>
      </c>
      <c r="B195" s="34"/>
      <c r="C195" s="29" t="s">
        <v>490</v>
      </c>
      <c r="D195" s="9"/>
      <c r="E195" s="30" t="s">
        <v>478</v>
      </c>
      <c r="F195" s="18">
        <v>1000</v>
      </c>
      <c r="G195" s="18">
        <v>0.01</v>
      </c>
      <c r="H195" s="13"/>
      <c r="I195" s="13"/>
    </row>
    <row r="196" spans="1:9" ht="16.5">
      <c r="A196" s="6" t="s">
        <v>491</v>
      </c>
      <c r="B196" s="34"/>
      <c r="C196" s="28" t="s">
        <v>492</v>
      </c>
      <c r="D196" s="9"/>
      <c r="E196" s="13" t="s">
        <v>478</v>
      </c>
      <c r="F196" s="11">
        <v>100</v>
      </c>
      <c r="G196" s="12">
        <v>0.01</v>
      </c>
      <c r="H196" s="13" t="s">
        <v>107</v>
      </c>
      <c r="I196" s="13"/>
    </row>
    <row r="197" spans="1:9" ht="16.5">
      <c r="A197" s="6" t="s">
        <v>44</v>
      </c>
      <c r="B197" s="34"/>
      <c r="C197" s="29" t="s">
        <v>493</v>
      </c>
      <c r="D197" s="9"/>
      <c r="E197" s="30" t="s">
        <v>478</v>
      </c>
      <c r="F197" s="18">
        <v>50</v>
      </c>
      <c r="G197" s="18">
        <v>1E-3</v>
      </c>
      <c r="H197" s="13"/>
      <c r="I197" s="13"/>
    </row>
    <row r="198" spans="1:9" ht="16.5">
      <c r="A198" s="6" t="s">
        <v>46</v>
      </c>
      <c r="B198" s="36"/>
      <c r="C198" s="28" t="s">
        <v>45</v>
      </c>
      <c r="D198" s="9"/>
      <c r="E198" s="13" t="s">
        <v>478</v>
      </c>
      <c r="F198" s="11">
        <v>5</v>
      </c>
      <c r="G198" s="12" t="s">
        <v>494</v>
      </c>
      <c r="H198" s="13"/>
      <c r="I198" s="13"/>
    </row>
    <row r="199" spans="1:9" ht="16.5">
      <c r="A199" s="6" t="s">
        <v>495</v>
      </c>
      <c r="B199" s="34"/>
      <c r="C199" s="28" t="s">
        <v>496</v>
      </c>
      <c r="D199" s="9"/>
      <c r="E199" s="13" t="s">
        <v>478</v>
      </c>
      <c r="F199" s="11">
        <v>1000</v>
      </c>
      <c r="G199" s="12">
        <v>0.01</v>
      </c>
      <c r="H199" s="13" t="s">
        <v>107</v>
      </c>
      <c r="I199" s="13"/>
    </row>
    <row r="200" spans="1:9" ht="16.5">
      <c r="A200" s="15" t="s">
        <v>48</v>
      </c>
      <c r="B200" s="34"/>
      <c r="C200" s="29" t="s">
        <v>47</v>
      </c>
      <c r="D200" s="9"/>
      <c r="E200" s="30" t="s">
        <v>478</v>
      </c>
      <c r="F200" s="18">
        <v>100</v>
      </c>
      <c r="G200" s="18">
        <v>4.9999999999999998E-8</v>
      </c>
      <c r="H200" s="13"/>
      <c r="I200" s="13"/>
    </row>
    <row r="201" spans="1:9" ht="16.5">
      <c r="A201" s="6" t="s">
        <v>497</v>
      </c>
      <c r="B201" s="34"/>
      <c r="C201" s="29" t="s">
        <v>498</v>
      </c>
      <c r="D201" s="9"/>
      <c r="E201" s="30" t="s">
        <v>478</v>
      </c>
      <c r="F201" s="18">
        <v>50</v>
      </c>
      <c r="G201" s="18">
        <v>1E-3</v>
      </c>
      <c r="H201" s="13"/>
      <c r="I201" s="13"/>
    </row>
    <row r="202" spans="1:9" ht="16.5">
      <c r="A202" s="15" t="s">
        <v>499</v>
      </c>
      <c r="B202" s="34"/>
      <c r="C202" s="29" t="s">
        <v>500</v>
      </c>
      <c r="D202" s="9"/>
      <c r="E202" s="30" t="s">
        <v>478</v>
      </c>
      <c r="F202" s="18">
        <v>100</v>
      </c>
      <c r="G202" s="18">
        <v>0.01</v>
      </c>
      <c r="H202" s="13"/>
      <c r="I202" s="13"/>
    </row>
    <row r="203" spans="1:9" ht="16.5">
      <c r="A203" s="6" t="s">
        <v>501</v>
      </c>
      <c r="B203" s="34"/>
      <c r="C203" s="28" t="s">
        <v>502</v>
      </c>
      <c r="D203" s="9"/>
      <c r="E203" s="13" t="s">
        <v>478</v>
      </c>
      <c r="F203" s="11">
        <v>100</v>
      </c>
      <c r="G203" s="12">
        <v>1E-3</v>
      </c>
      <c r="H203" s="13" t="s">
        <v>107</v>
      </c>
      <c r="I203" s="13"/>
    </row>
    <row r="204" spans="1:9" ht="16.5">
      <c r="A204" s="6" t="s">
        <v>503</v>
      </c>
      <c r="B204" s="34"/>
      <c r="C204" s="28" t="s">
        <v>504</v>
      </c>
      <c r="D204" s="9"/>
      <c r="E204" s="13" t="s">
        <v>478</v>
      </c>
      <c r="F204" s="11">
        <v>100</v>
      </c>
      <c r="G204" s="12">
        <v>1E-3</v>
      </c>
      <c r="H204" s="13" t="s">
        <v>107</v>
      </c>
      <c r="I204" s="13"/>
    </row>
    <row r="205" spans="1:9" ht="16.5">
      <c r="A205" s="37" t="s">
        <v>505</v>
      </c>
      <c r="B205" s="34"/>
      <c r="C205" s="9" t="s">
        <v>506</v>
      </c>
      <c r="D205" s="9"/>
      <c r="E205" s="30" t="s">
        <v>478</v>
      </c>
      <c r="F205" s="18">
        <v>100</v>
      </c>
      <c r="G205" s="18">
        <v>1E-3</v>
      </c>
      <c r="H205" s="13" t="s">
        <v>107</v>
      </c>
      <c r="I205" s="13"/>
    </row>
    <row r="206" spans="1:9" ht="16.5">
      <c r="A206" s="6" t="s">
        <v>507</v>
      </c>
      <c r="B206" s="34"/>
      <c r="C206" s="28" t="s">
        <v>508</v>
      </c>
      <c r="D206" s="9"/>
      <c r="E206" s="13">
        <v>2</v>
      </c>
      <c r="F206" s="11" t="s">
        <v>509</v>
      </c>
      <c r="G206" s="12" t="s">
        <v>494</v>
      </c>
      <c r="H206" s="13" t="s">
        <v>107</v>
      </c>
      <c r="I206" s="13" t="s">
        <v>387</v>
      </c>
    </row>
    <row r="207" spans="1:9" ht="16.5">
      <c r="A207" s="6" t="s">
        <v>510</v>
      </c>
      <c r="B207" s="34"/>
      <c r="C207" s="28" t="s">
        <v>511</v>
      </c>
      <c r="D207" s="9"/>
      <c r="E207" s="13">
        <v>2</v>
      </c>
      <c r="F207" s="11" t="s">
        <v>509</v>
      </c>
      <c r="G207" s="12" t="s">
        <v>494</v>
      </c>
      <c r="H207" s="13" t="s">
        <v>107</v>
      </c>
      <c r="I207" s="13" t="s">
        <v>387</v>
      </c>
    </row>
    <row r="208" spans="1:9" ht="16.5">
      <c r="A208" s="15" t="s">
        <v>59</v>
      </c>
      <c r="B208" s="34"/>
      <c r="C208" s="29" t="s">
        <v>58</v>
      </c>
      <c r="D208" s="9"/>
      <c r="E208" s="30">
        <v>2</v>
      </c>
      <c r="F208" s="18" t="s">
        <v>509</v>
      </c>
      <c r="G208" s="18" t="s">
        <v>494</v>
      </c>
      <c r="H208" s="13" t="s">
        <v>107</v>
      </c>
      <c r="I208" s="13" t="s">
        <v>387</v>
      </c>
    </row>
    <row r="209" spans="1:9" ht="16.5">
      <c r="A209" s="15" t="s">
        <v>61</v>
      </c>
      <c r="B209" s="34"/>
      <c r="C209" s="29" t="s">
        <v>512</v>
      </c>
      <c r="D209" s="9"/>
      <c r="E209" s="30">
        <v>2</v>
      </c>
      <c r="F209" s="18" t="s">
        <v>509</v>
      </c>
      <c r="G209" s="18" t="s">
        <v>494</v>
      </c>
      <c r="H209" s="13" t="s">
        <v>107</v>
      </c>
      <c r="I209" s="13" t="s">
        <v>387</v>
      </c>
    </row>
    <row r="210" spans="1:9" ht="16.5">
      <c r="A210" s="6" t="s">
        <v>513</v>
      </c>
      <c r="B210" s="34"/>
      <c r="C210" s="28" t="s">
        <v>514</v>
      </c>
      <c r="D210" s="9"/>
      <c r="E210" s="13">
        <v>2</v>
      </c>
      <c r="F210" s="11" t="s">
        <v>509</v>
      </c>
      <c r="G210" s="12" t="s">
        <v>494</v>
      </c>
      <c r="H210" s="13" t="s">
        <v>107</v>
      </c>
      <c r="I210" s="13" t="s">
        <v>387</v>
      </c>
    </row>
    <row r="211" spans="1:9" ht="16.5">
      <c r="A211" s="6" t="s">
        <v>65</v>
      </c>
      <c r="B211" s="34"/>
      <c r="C211" s="28" t="s">
        <v>515</v>
      </c>
      <c r="D211" s="9"/>
      <c r="E211" s="13">
        <v>2</v>
      </c>
      <c r="F211" s="11" t="s">
        <v>509</v>
      </c>
      <c r="G211" s="12" t="s">
        <v>494</v>
      </c>
      <c r="H211" s="13" t="s">
        <v>107</v>
      </c>
      <c r="I211" s="13" t="s">
        <v>387</v>
      </c>
    </row>
    <row r="212" spans="1:9" ht="16.5">
      <c r="A212" s="6" t="s">
        <v>516</v>
      </c>
      <c r="B212" s="34"/>
      <c r="C212" s="28" t="s">
        <v>517</v>
      </c>
      <c r="D212" s="9"/>
      <c r="E212" s="13">
        <v>2</v>
      </c>
      <c r="F212" s="11" t="s">
        <v>509</v>
      </c>
      <c r="G212" s="12" t="s">
        <v>494</v>
      </c>
      <c r="H212" s="13" t="s">
        <v>107</v>
      </c>
      <c r="I212" s="13" t="s">
        <v>387</v>
      </c>
    </row>
    <row r="213" spans="1:9" ht="16.5">
      <c r="A213" s="15" t="s">
        <v>67</v>
      </c>
      <c r="B213" s="34"/>
      <c r="C213" s="29" t="s">
        <v>518</v>
      </c>
      <c r="D213" s="9"/>
      <c r="E213" s="30">
        <v>2</v>
      </c>
      <c r="F213" s="18" t="s">
        <v>509</v>
      </c>
      <c r="G213" s="18" t="s">
        <v>494</v>
      </c>
      <c r="H213" s="13" t="s">
        <v>107</v>
      </c>
      <c r="I213" s="13" t="s">
        <v>387</v>
      </c>
    </row>
    <row r="214" spans="1:9" ht="16.5">
      <c r="A214" s="6" t="s">
        <v>519</v>
      </c>
      <c r="B214" s="34"/>
      <c r="C214" s="28" t="s">
        <v>520</v>
      </c>
      <c r="D214" s="9"/>
      <c r="E214" s="13">
        <v>2</v>
      </c>
      <c r="F214" s="11" t="s">
        <v>509</v>
      </c>
      <c r="G214" s="12" t="s">
        <v>494</v>
      </c>
      <c r="H214" s="13" t="s">
        <v>107</v>
      </c>
      <c r="I214" s="13" t="s">
        <v>387</v>
      </c>
    </row>
    <row r="215" spans="1:9" ht="16.5">
      <c r="A215" s="6" t="s">
        <v>69</v>
      </c>
      <c r="B215" s="14"/>
      <c r="C215" s="8" t="s">
        <v>521</v>
      </c>
      <c r="D215" s="9"/>
      <c r="E215" s="10">
        <v>2</v>
      </c>
      <c r="F215" s="11" t="s">
        <v>509</v>
      </c>
      <c r="G215" s="12" t="s">
        <v>494</v>
      </c>
      <c r="H215" s="13" t="s">
        <v>107</v>
      </c>
      <c r="I215" s="13" t="s">
        <v>387</v>
      </c>
    </row>
    <row r="216" spans="1:9" ht="16.5">
      <c r="A216" s="6" t="s">
        <v>63</v>
      </c>
      <c r="B216" s="14"/>
      <c r="C216" s="8" t="s">
        <v>522</v>
      </c>
      <c r="D216" s="9"/>
      <c r="E216" s="10">
        <v>2</v>
      </c>
      <c r="F216" s="11" t="s">
        <v>509</v>
      </c>
      <c r="G216" s="12" t="s">
        <v>494</v>
      </c>
      <c r="H216" s="13" t="s">
        <v>107</v>
      </c>
      <c r="I216" s="13" t="s">
        <v>387</v>
      </c>
    </row>
    <row r="217" spans="1:9" ht="16.5">
      <c r="A217" s="6" t="s">
        <v>523</v>
      </c>
      <c r="B217" s="14"/>
      <c r="C217" s="8" t="s">
        <v>524</v>
      </c>
      <c r="D217" s="9"/>
      <c r="E217" s="10">
        <v>2</v>
      </c>
      <c r="F217" s="11" t="s">
        <v>509</v>
      </c>
      <c r="G217" s="12" t="s">
        <v>494</v>
      </c>
      <c r="H217" s="13" t="s">
        <v>107</v>
      </c>
      <c r="I217" s="13" t="s">
        <v>387</v>
      </c>
    </row>
    <row r="218" spans="1:9" ht="16.5">
      <c r="A218" s="6" t="s">
        <v>525</v>
      </c>
      <c r="B218" s="14"/>
      <c r="C218" s="8" t="s">
        <v>526</v>
      </c>
      <c r="D218" s="9"/>
      <c r="E218" s="10">
        <v>2</v>
      </c>
      <c r="F218" s="11" t="s">
        <v>509</v>
      </c>
      <c r="G218" s="12" t="s">
        <v>494</v>
      </c>
      <c r="H218" s="13" t="s">
        <v>107</v>
      </c>
      <c r="I218" s="13" t="s">
        <v>387</v>
      </c>
    </row>
    <row r="219" spans="1:9" ht="16.5">
      <c r="A219" s="6" t="s">
        <v>527</v>
      </c>
      <c r="B219" s="14"/>
      <c r="C219" s="8" t="s">
        <v>528</v>
      </c>
      <c r="D219" s="9"/>
      <c r="E219" s="10">
        <v>2</v>
      </c>
      <c r="F219" s="11" t="s">
        <v>509</v>
      </c>
      <c r="G219" s="12" t="s">
        <v>494</v>
      </c>
      <c r="H219" s="13" t="s">
        <v>107</v>
      </c>
      <c r="I219" s="13" t="s">
        <v>387</v>
      </c>
    </row>
    <row r="220" spans="1:9" ht="16.5">
      <c r="A220" s="6" t="s">
        <v>71</v>
      </c>
      <c r="B220" s="14"/>
      <c r="C220" s="8" t="s">
        <v>529</v>
      </c>
      <c r="D220" s="9"/>
      <c r="E220" s="10">
        <v>2</v>
      </c>
      <c r="F220" s="11" t="s">
        <v>509</v>
      </c>
      <c r="G220" s="12" t="s">
        <v>494</v>
      </c>
      <c r="H220" s="13" t="s">
        <v>107</v>
      </c>
      <c r="I220" s="13" t="s">
        <v>387</v>
      </c>
    </row>
    <row r="221" spans="1:9" ht="16.5">
      <c r="A221" s="6" t="s">
        <v>530</v>
      </c>
      <c r="B221" s="14"/>
      <c r="C221" s="8" t="s">
        <v>531</v>
      </c>
      <c r="D221" s="9"/>
      <c r="E221" s="10">
        <v>2</v>
      </c>
      <c r="F221" s="11" t="s">
        <v>509</v>
      </c>
      <c r="G221" s="12" t="s">
        <v>494</v>
      </c>
      <c r="H221" s="13" t="s">
        <v>107</v>
      </c>
      <c r="I221" s="13" t="s">
        <v>387</v>
      </c>
    </row>
    <row r="222" spans="1:9" ht="16.5">
      <c r="A222" s="6" t="s">
        <v>532</v>
      </c>
      <c r="B222" s="14"/>
      <c r="C222" s="8" t="s">
        <v>533</v>
      </c>
      <c r="D222" s="9"/>
      <c r="E222" s="10">
        <v>2</v>
      </c>
      <c r="F222" s="11" t="s">
        <v>509</v>
      </c>
      <c r="G222" s="12" t="s">
        <v>494</v>
      </c>
      <c r="H222" s="13" t="s">
        <v>107</v>
      </c>
      <c r="I222" s="13" t="s">
        <v>387</v>
      </c>
    </row>
    <row r="223" spans="1:9" ht="16.5">
      <c r="A223" s="6" t="s">
        <v>534</v>
      </c>
      <c r="B223" s="14"/>
      <c r="C223" s="8" t="s">
        <v>535</v>
      </c>
      <c r="D223" s="9"/>
      <c r="E223" s="10">
        <v>2</v>
      </c>
      <c r="F223" s="11" t="s">
        <v>509</v>
      </c>
      <c r="G223" s="12" t="s">
        <v>494</v>
      </c>
      <c r="H223" s="38" t="s">
        <v>107</v>
      </c>
      <c r="I223" s="13" t="s">
        <v>387</v>
      </c>
    </row>
    <row r="224" spans="1:9" ht="16.5">
      <c r="A224" s="6" t="s">
        <v>536</v>
      </c>
      <c r="B224" s="14"/>
      <c r="C224" s="8" t="s">
        <v>537</v>
      </c>
      <c r="D224" s="9"/>
      <c r="E224" s="10">
        <v>2</v>
      </c>
      <c r="F224" s="11" t="s">
        <v>509</v>
      </c>
      <c r="G224" s="12" t="s">
        <v>494</v>
      </c>
      <c r="H224" s="13" t="s">
        <v>107</v>
      </c>
      <c r="I224" s="13" t="s">
        <v>387</v>
      </c>
    </row>
    <row r="225" spans="1:9" ht="16.5">
      <c r="A225" s="6" t="s">
        <v>538</v>
      </c>
      <c r="B225" s="14" t="s">
        <v>539</v>
      </c>
      <c r="C225" s="8" t="s">
        <v>540</v>
      </c>
      <c r="D225" s="9"/>
      <c r="E225" s="10">
        <v>2</v>
      </c>
      <c r="F225" s="11" t="s">
        <v>509</v>
      </c>
      <c r="G225" s="12" t="s">
        <v>494</v>
      </c>
      <c r="H225" s="13" t="s">
        <v>107</v>
      </c>
      <c r="I225" s="13" t="s">
        <v>387</v>
      </c>
    </row>
    <row r="226" spans="1:9" ht="16.5">
      <c r="A226" s="6" t="s">
        <v>541</v>
      </c>
      <c r="B226" s="7" t="s">
        <v>542</v>
      </c>
      <c r="C226" s="8" t="s">
        <v>543</v>
      </c>
      <c r="D226" s="9"/>
      <c r="E226" s="10">
        <v>2</v>
      </c>
      <c r="F226" s="11" t="s">
        <v>509</v>
      </c>
      <c r="G226" s="12" t="s">
        <v>494</v>
      </c>
      <c r="H226" s="13" t="s">
        <v>107</v>
      </c>
      <c r="I226" s="13" t="s">
        <v>387</v>
      </c>
    </row>
    <row r="227" spans="1:9" ht="16.5">
      <c r="A227" s="6" t="s">
        <v>75</v>
      </c>
      <c r="B227" s="14"/>
      <c r="C227" s="8" t="s">
        <v>74</v>
      </c>
      <c r="D227" s="9"/>
      <c r="E227" s="10">
        <v>2</v>
      </c>
      <c r="F227" s="11" t="s">
        <v>509</v>
      </c>
      <c r="G227" s="12" t="s">
        <v>494</v>
      </c>
      <c r="H227" s="13" t="s">
        <v>107</v>
      </c>
      <c r="I227" s="10" t="s">
        <v>387</v>
      </c>
    </row>
    <row r="228" spans="1:9" ht="16.5">
      <c r="A228" s="6" t="s">
        <v>544</v>
      </c>
      <c r="B228" s="14"/>
      <c r="C228" s="8" t="s">
        <v>545</v>
      </c>
      <c r="D228" s="9"/>
      <c r="E228" s="10">
        <v>2</v>
      </c>
      <c r="F228" s="11" t="s">
        <v>509</v>
      </c>
      <c r="G228" s="12" t="s">
        <v>494</v>
      </c>
      <c r="H228" s="13" t="s">
        <v>107</v>
      </c>
      <c r="I228" s="38" t="s">
        <v>387</v>
      </c>
    </row>
    <row r="229" spans="1:9" ht="16.5">
      <c r="A229" s="6" t="s">
        <v>77</v>
      </c>
      <c r="B229" s="14"/>
      <c r="C229" s="8" t="s">
        <v>546</v>
      </c>
      <c r="D229" s="9"/>
      <c r="E229" s="10">
        <v>2</v>
      </c>
      <c r="F229" s="11" t="s">
        <v>509</v>
      </c>
      <c r="G229" s="12" t="s">
        <v>494</v>
      </c>
      <c r="H229" s="13" t="s">
        <v>107</v>
      </c>
      <c r="I229" s="13" t="s">
        <v>387</v>
      </c>
    </row>
    <row r="230" spans="1:9" ht="16.5">
      <c r="A230" s="6" t="s">
        <v>547</v>
      </c>
      <c r="B230" s="14" t="s">
        <v>548</v>
      </c>
      <c r="C230" s="8" t="s">
        <v>549</v>
      </c>
      <c r="D230" s="9"/>
      <c r="E230" s="10">
        <v>2</v>
      </c>
      <c r="F230" s="11" t="s">
        <v>509</v>
      </c>
      <c r="G230" s="12" t="s">
        <v>494</v>
      </c>
      <c r="H230" s="13" t="s">
        <v>107</v>
      </c>
      <c r="I230" s="13" t="s">
        <v>387</v>
      </c>
    </row>
    <row r="231" spans="1:9" ht="16.5">
      <c r="A231" s="6" t="s">
        <v>550</v>
      </c>
      <c r="B231" s="14" t="s">
        <v>551</v>
      </c>
      <c r="C231" s="8" t="s">
        <v>552</v>
      </c>
      <c r="D231" s="9"/>
      <c r="E231" s="10">
        <v>2</v>
      </c>
      <c r="F231" s="11" t="s">
        <v>509</v>
      </c>
      <c r="G231" s="12" t="s">
        <v>494</v>
      </c>
      <c r="H231" s="13" t="s">
        <v>107</v>
      </c>
      <c r="I231" s="13" t="s">
        <v>387</v>
      </c>
    </row>
    <row r="232" spans="1:9" ht="16.5">
      <c r="A232" s="6" t="s">
        <v>553</v>
      </c>
      <c r="B232" s="14" t="s">
        <v>554</v>
      </c>
      <c r="C232" s="8" t="s">
        <v>555</v>
      </c>
      <c r="D232" s="9"/>
      <c r="E232" s="10">
        <v>2</v>
      </c>
      <c r="F232" s="11" t="s">
        <v>509</v>
      </c>
      <c r="G232" s="12" t="s">
        <v>494</v>
      </c>
      <c r="H232" s="13" t="s">
        <v>107</v>
      </c>
      <c r="I232" s="13" t="s">
        <v>387</v>
      </c>
    </row>
    <row r="233" spans="1:9" ht="16.5">
      <c r="A233" s="6" t="s">
        <v>556</v>
      </c>
      <c r="B233" s="14"/>
      <c r="C233" s="8" t="s">
        <v>557</v>
      </c>
      <c r="D233" s="9"/>
      <c r="E233" s="10">
        <v>2</v>
      </c>
      <c r="F233" s="11" t="s">
        <v>509</v>
      </c>
      <c r="G233" s="12" t="s">
        <v>494</v>
      </c>
      <c r="H233" s="13" t="s">
        <v>107</v>
      </c>
      <c r="I233" s="13" t="s">
        <v>387</v>
      </c>
    </row>
    <row r="234" spans="1:9" ht="16.5">
      <c r="A234" s="39" t="s">
        <v>81</v>
      </c>
      <c r="B234" s="14"/>
      <c r="C234" s="8" t="s">
        <v>80</v>
      </c>
      <c r="D234" s="9"/>
      <c r="E234" s="10">
        <v>2</v>
      </c>
      <c r="F234" s="11" t="s">
        <v>509</v>
      </c>
      <c r="G234" s="12" t="s">
        <v>494</v>
      </c>
      <c r="H234" s="13" t="s">
        <v>107</v>
      </c>
      <c r="I234" s="13" t="s">
        <v>387</v>
      </c>
    </row>
    <row r="235" spans="1:9" ht="16.5">
      <c r="A235" s="6" t="s">
        <v>83</v>
      </c>
      <c r="B235" s="14"/>
      <c r="C235" s="8" t="s">
        <v>82</v>
      </c>
      <c r="D235" s="9"/>
      <c r="E235" s="10">
        <v>2</v>
      </c>
      <c r="F235" s="11" t="s">
        <v>509</v>
      </c>
      <c r="G235" s="12" t="s">
        <v>494</v>
      </c>
      <c r="H235" s="13" t="s">
        <v>107</v>
      </c>
      <c r="I235" s="13" t="s">
        <v>387</v>
      </c>
    </row>
    <row r="236" spans="1:9" ht="16.5">
      <c r="A236" s="6" t="s">
        <v>558</v>
      </c>
      <c r="B236" s="14"/>
      <c r="C236" s="8" t="s">
        <v>559</v>
      </c>
      <c r="D236" s="9"/>
      <c r="E236" s="10">
        <v>2</v>
      </c>
      <c r="F236" s="11" t="s">
        <v>509</v>
      </c>
      <c r="G236" s="12" t="s">
        <v>494</v>
      </c>
      <c r="H236" s="13" t="s">
        <v>107</v>
      </c>
      <c r="I236" s="13" t="s">
        <v>387</v>
      </c>
    </row>
    <row r="237" spans="1:9" ht="16.5">
      <c r="A237" s="6" t="s">
        <v>560</v>
      </c>
      <c r="B237" s="14" t="s">
        <v>561</v>
      </c>
      <c r="C237" s="8" t="s">
        <v>562</v>
      </c>
      <c r="D237" s="9"/>
      <c r="E237" s="10">
        <v>3</v>
      </c>
      <c r="F237" s="11" t="s">
        <v>563</v>
      </c>
      <c r="G237" s="12" t="s">
        <v>494</v>
      </c>
      <c r="H237" s="13"/>
      <c r="I237" s="13"/>
    </row>
    <row r="238" spans="1:9" ht="16.5">
      <c r="A238" s="6" t="s">
        <v>564</v>
      </c>
      <c r="B238" s="14" t="s">
        <v>565</v>
      </c>
      <c r="C238" s="8" t="s">
        <v>566</v>
      </c>
      <c r="D238" s="9"/>
      <c r="E238" s="10">
        <v>3</v>
      </c>
      <c r="F238" s="11" t="s">
        <v>563</v>
      </c>
      <c r="G238" s="12" t="s">
        <v>494</v>
      </c>
      <c r="H238" s="13"/>
      <c r="I238" s="13"/>
    </row>
    <row r="239" spans="1:9" ht="16.5">
      <c r="A239" s="6" t="s">
        <v>567</v>
      </c>
      <c r="B239" s="14" t="s">
        <v>568</v>
      </c>
      <c r="C239" s="8" t="s">
        <v>569</v>
      </c>
      <c r="D239" s="9"/>
      <c r="E239" s="10">
        <v>3</v>
      </c>
      <c r="F239" s="11" t="s">
        <v>563</v>
      </c>
      <c r="G239" s="12" t="s">
        <v>494</v>
      </c>
      <c r="H239" s="13"/>
      <c r="I239" s="13"/>
    </row>
    <row r="240" spans="1:9" ht="16.5">
      <c r="A240" s="6" t="s">
        <v>570</v>
      </c>
      <c r="B240" s="14" t="s">
        <v>571</v>
      </c>
      <c r="C240" s="8" t="s">
        <v>569</v>
      </c>
      <c r="D240" s="9"/>
      <c r="E240" s="10">
        <v>3</v>
      </c>
      <c r="F240" s="11" t="s">
        <v>563</v>
      </c>
      <c r="G240" s="12" t="s">
        <v>494</v>
      </c>
      <c r="H240" s="13"/>
      <c r="I240" s="13"/>
    </row>
    <row r="241" spans="1:9" ht="16.5">
      <c r="A241" s="6" t="s">
        <v>572</v>
      </c>
      <c r="B241" s="14" t="s">
        <v>573</v>
      </c>
      <c r="C241" s="8" t="s">
        <v>569</v>
      </c>
      <c r="D241" s="9"/>
      <c r="E241" s="10">
        <v>3</v>
      </c>
      <c r="F241" s="11" t="s">
        <v>563</v>
      </c>
      <c r="G241" s="12" t="s">
        <v>494</v>
      </c>
      <c r="H241" s="13"/>
      <c r="I241" s="13"/>
    </row>
    <row r="242" spans="1:9" ht="16.5">
      <c r="A242" s="6" t="s">
        <v>574</v>
      </c>
      <c r="B242" s="14" t="s">
        <v>575</v>
      </c>
      <c r="C242" s="8" t="s">
        <v>576</v>
      </c>
      <c r="D242" s="9"/>
      <c r="E242" s="10">
        <v>3</v>
      </c>
      <c r="F242" s="11" t="s">
        <v>563</v>
      </c>
      <c r="G242" s="12" t="s">
        <v>494</v>
      </c>
      <c r="H242" s="13"/>
      <c r="I242" s="13"/>
    </row>
    <row r="243" spans="1:9" ht="16.5">
      <c r="A243" s="39" t="s">
        <v>79</v>
      </c>
      <c r="B243" s="14"/>
      <c r="C243" s="8" t="s">
        <v>577</v>
      </c>
      <c r="D243" s="9"/>
      <c r="E243" s="10">
        <v>3</v>
      </c>
      <c r="F243" s="11" t="s">
        <v>563</v>
      </c>
      <c r="G243" s="12" t="s">
        <v>494</v>
      </c>
      <c r="H243" s="13"/>
      <c r="I243" s="13"/>
    </row>
    <row r="244" spans="1:9" ht="16.5">
      <c r="A244" s="6" t="s">
        <v>578</v>
      </c>
      <c r="B244" s="14" t="s">
        <v>561</v>
      </c>
      <c r="C244" s="8" t="s">
        <v>579</v>
      </c>
      <c r="D244" s="9"/>
      <c r="E244" s="10">
        <v>3</v>
      </c>
      <c r="F244" s="11" t="s">
        <v>563</v>
      </c>
      <c r="G244" s="12" t="s">
        <v>494</v>
      </c>
      <c r="H244" s="13"/>
      <c r="I244" s="13"/>
    </row>
    <row r="245" spans="1:9" ht="16.5">
      <c r="A245" s="6" t="s">
        <v>580</v>
      </c>
      <c r="B245" s="14" t="s">
        <v>581</v>
      </c>
      <c r="C245" s="8" t="s">
        <v>582</v>
      </c>
      <c r="D245" s="9"/>
      <c r="E245" s="10">
        <v>3</v>
      </c>
      <c r="F245" s="11" t="s">
        <v>563</v>
      </c>
      <c r="G245" s="12" t="s">
        <v>494</v>
      </c>
      <c r="H245" s="13"/>
      <c r="I245" s="13"/>
    </row>
    <row r="246" spans="1:9" ht="16.5">
      <c r="A246" s="6" t="s">
        <v>583</v>
      </c>
      <c r="B246" s="14" t="s">
        <v>565</v>
      </c>
      <c r="C246" s="8" t="s">
        <v>582</v>
      </c>
      <c r="D246" s="9"/>
      <c r="E246" s="10">
        <v>3</v>
      </c>
      <c r="F246" s="11" t="s">
        <v>563</v>
      </c>
      <c r="G246" s="12" t="s">
        <v>494</v>
      </c>
      <c r="H246" s="13"/>
      <c r="I246" s="13"/>
    </row>
    <row r="247" spans="1:9" ht="16.5">
      <c r="A247" s="6" t="s">
        <v>584</v>
      </c>
      <c r="B247" s="14" t="s">
        <v>568</v>
      </c>
      <c r="C247" s="8" t="s">
        <v>585</v>
      </c>
      <c r="D247" s="9"/>
      <c r="E247" s="10">
        <v>3</v>
      </c>
      <c r="F247" s="11" t="s">
        <v>563</v>
      </c>
      <c r="G247" s="12" t="s">
        <v>494</v>
      </c>
      <c r="H247" s="13"/>
      <c r="I247" s="13"/>
    </row>
    <row r="248" spans="1:9" ht="16.5">
      <c r="A248" s="40" t="s">
        <v>586</v>
      </c>
      <c r="B248" s="14" t="s">
        <v>571</v>
      </c>
      <c r="C248" s="8" t="s">
        <v>585</v>
      </c>
      <c r="D248" s="9"/>
      <c r="E248" s="10">
        <v>3</v>
      </c>
      <c r="F248" s="11" t="s">
        <v>563</v>
      </c>
      <c r="G248" s="12" t="s">
        <v>494</v>
      </c>
      <c r="H248" s="13"/>
      <c r="I248" s="13"/>
    </row>
    <row r="249" spans="1:9" ht="16.5">
      <c r="A249" s="6" t="s">
        <v>587</v>
      </c>
      <c r="B249" s="14" t="s">
        <v>573</v>
      </c>
      <c r="C249" s="8" t="s">
        <v>585</v>
      </c>
      <c r="D249" s="9"/>
      <c r="E249" s="10">
        <v>3</v>
      </c>
      <c r="F249" s="11" t="s">
        <v>563</v>
      </c>
      <c r="G249" s="12" t="s">
        <v>494</v>
      </c>
      <c r="H249" s="13"/>
      <c r="I249" s="13"/>
    </row>
    <row r="250" spans="1:9" ht="16.5">
      <c r="A250" s="6" t="s">
        <v>588</v>
      </c>
      <c r="B250" s="14" t="s">
        <v>589</v>
      </c>
      <c r="C250" s="20" t="s">
        <v>585</v>
      </c>
      <c r="D250" s="9"/>
      <c r="E250" s="10">
        <v>3</v>
      </c>
      <c r="F250" s="21" t="s">
        <v>563</v>
      </c>
      <c r="G250" s="22" t="s">
        <v>494</v>
      </c>
      <c r="H250" s="13"/>
      <c r="I250" s="13"/>
    </row>
    <row r="251" spans="1:9" ht="16.5">
      <c r="A251" s="6" t="s">
        <v>590</v>
      </c>
      <c r="B251" s="14" t="s">
        <v>575</v>
      </c>
      <c r="C251" s="20" t="s">
        <v>591</v>
      </c>
      <c r="D251" s="9"/>
      <c r="E251" s="10">
        <v>3</v>
      </c>
      <c r="F251" s="21" t="s">
        <v>563</v>
      </c>
      <c r="G251" s="35" t="s">
        <v>494</v>
      </c>
      <c r="H251" s="13"/>
      <c r="I251" s="13"/>
    </row>
    <row r="252" spans="1:9" ht="16.5">
      <c r="A252" s="6" t="s">
        <v>592</v>
      </c>
      <c r="B252" s="7" t="s">
        <v>593</v>
      </c>
      <c r="C252" s="8" t="s">
        <v>591</v>
      </c>
      <c r="D252" s="9"/>
      <c r="E252" s="10">
        <v>3</v>
      </c>
      <c r="F252" s="11" t="s">
        <v>563</v>
      </c>
      <c r="G252" s="12" t="s">
        <v>494</v>
      </c>
      <c r="H252" s="13"/>
      <c r="I252" s="13"/>
    </row>
    <row r="253" spans="1:9" ht="16.5">
      <c r="A253" s="6" t="s">
        <v>594</v>
      </c>
      <c r="B253" s="14"/>
      <c r="C253" s="8" t="s">
        <v>595</v>
      </c>
      <c r="D253" s="9"/>
      <c r="E253" s="10">
        <v>3</v>
      </c>
      <c r="F253" s="11" t="s">
        <v>563</v>
      </c>
      <c r="G253" s="12" t="s">
        <v>494</v>
      </c>
      <c r="H253" s="13"/>
      <c r="I253" s="13"/>
    </row>
    <row r="254" spans="1:9" ht="16.5">
      <c r="A254" s="6" t="s">
        <v>596</v>
      </c>
      <c r="B254" s="14"/>
      <c r="C254" s="8" t="s">
        <v>597</v>
      </c>
      <c r="D254" s="9"/>
      <c r="E254" s="10">
        <v>3</v>
      </c>
      <c r="F254" s="11" t="s">
        <v>563</v>
      </c>
      <c r="G254" s="12" t="s">
        <v>494</v>
      </c>
      <c r="H254" s="13"/>
      <c r="I254" s="13"/>
    </row>
    <row r="255" spans="1:9" ht="16.5">
      <c r="A255" s="6" t="s">
        <v>55</v>
      </c>
      <c r="B255" s="7"/>
      <c r="C255" s="8" t="s">
        <v>598</v>
      </c>
      <c r="D255" s="9"/>
      <c r="E255" s="10">
        <v>4</v>
      </c>
      <c r="F255" s="11">
        <v>20000</v>
      </c>
      <c r="G255" s="12" t="s">
        <v>494</v>
      </c>
      <c r="H255" s="13"/>
      <c r="I255" s="13"/>
    </row>
    <row r="256" spans="1:9" ht="16.5">
      <c r="A256" s="6" t="s">
        <v>53</v>
      </c>
      <c r="B256" s="14"/>
      <c r="C256" s="8" t="s">
        <v>599</v>
      </c>
      <c r="D256" s="9"/>
      <c r="E256" s="10">
        <v>4</v>
      </c>
      <c r="F256" s="11">
        <v>20000</v>
      </c>
      <c r="G256" s="12" t="s">
        <v>494</v>
      </c>
      <c r="H256" s="13"/>
      <c r="I256" s="13"/>
    </row>
    <row r="257" spans="1:9" ht="16.5">
      <c r="A257" s="15" t="s">
        <v>50</v>
      </c>
      <c r="B257" s="14"/>
      <c r="C257" s="16" t="s">
        <v>600</v>
      </c>
      <c r="D257" s="9"/>
      <c r="E257" s="17">
        <v>4</v>
      </c>
      <c r="F257" s="18">
        <v>300</v>
      </c>
      <c r="G257" s="18" t="s">
        <v>494</v>
      </c>
      <c r="H257" s="13"/>
      <c r="I257" s="13"/>
    </row>
    <row r="258" spans="1:9" ht="16.5">
      <c r="A258" s="6" t="s">
        <v>49</v>
      </c>
      <c r="B258" s="14"/>
      <c r="C258" s="8" t="s">
        <v>601</v>
      </c>
      <c r="D258" s="9"/>
      <c r="E258" s="10">
        <v>4</v>
      </c>
      <c r="F258" s="11">
        <v>500</v>
      </c>
      <c r="G258" s="12" t="s">
        <v>494</v>
      </c>
      <c r="H258" s="13"/>
      <c r="I258" s="13"/>
    </row>
    <row r="259" spans="1:9" ht="16.5">
      <c r="A259" s="6" t="s">
        <v>52</v>
      </c>
      <c r="B259" s="14"/>
      <c r="C259" s="8" t="s">
        <v>602</v>
      </c>
      <c r="D259" s="9"/>
      <c r="E259" s="10">
        <v>4</v>
      </c>
      <c r="F259" s="11">
        <v>20000</v>
      </c>
      <c r="G259" s="12" t="s">
        <v>494</v>
      </c>
      <c r="H259" s="13"/>
      <c r="I259" s="13"/>
    </row>
    <row r="260" spans="1:9" ht="16.5">
      <c r="A260" s="6" t="s">
        <v>57</v>
      </c>
      <c r="B260" s="14"/>
      <c r="C260" s="8" t="s">
        <v>603</v>
      </c>
      <c r="D260" s="9"/>
      <c r="E260" s="10">
        <v>4</v>
      </c>
      <c r="F260" s="11">
        <v>20000</v>
      </c>
      <c r="G260" s="12" t="s">
        <v>494</v>
      </c>
      <c r="H260" s="13"/>
      <c r="I260" s="13"/>
    </row>
    <row r="261" spans="1:9" ht="16.5">
      <c r="A261" s="6" t="s">
        <v>51</v>
      </c>
      <c r="B261" s="14"/>
      <c r="C261" s="8" t="s">
        <v>604</v>
      </c>
      <c r="D261" s="9"/>
      <c r="E261" s="10">
        <v>4</v>
      </c>
      <c r="F261" s="11">
        <v>10000</v>
      </c>
      <c r="G261" s="12" t="s">
        <v>494</v>
      </c>
      <c r="H261" s="13" t="s">
        <v>107</v>
      </c>
      <c r="I261" s="13"/>
    </row>
    <row r="262" spans="1:9" ht="16.5">
      <c r="A262" s="6" t="s">
        <v>605</v>
      </c>
      <c r="B262" s="14"/>
      <c r="C262" s="8" t="s">
        <v>606</v>
      </c>
      <c r="D262" s="9"/>
      <c r="E262" s="10">
        <v>5</v>
      </c>
      <c r="F262" s="11">
        <v>1000</v>
      </c>
      <c r="G262" s="12" t="s">
        <v>494</v>
      </c>
      <c r="H262" s="13" t="s">
        <v>107</v>
      </c>
      <c r="I262" s="13"/>
    </row>
    <row r="263" spans="1:9" ht="16.5">
      <c r="A263" s="6" t="s">
        <v>607</v>
      </c>
      <c r="B263" s="14"/>
      <c r="C263" s="8" t="s">
        <v>608</v>
      </c>
      <c r="D263" s="9"/>
      <c r="E263" s="10">
        <v>5</v>
      </c>
      <c r="F263" s="11">
        <v>1000</v>
      </c>
      <c r="G263" s="12" t="s">
        <v>494</v>
      </c>
      <c r="H263" s="13" t="s">
        <v>107</v>
      </c>
      <c r="I263" s="13"/>
    </row>
    <row r="264" spans="1:9" ht="16.5">
      <c r="A264" s="6" t="s">
        <v>29</v>
      </c>
      <c r="B264" s="14"/>
      <c r="C264" s="8" t="s">
        <v>28</v>
      </c>
      <c r="D264" s="9"/>
      <c r="E264" s="10">
        <v>5</v>
      </c>
      <c r="F264" s="11">
        <v>1000</v>
      </c>
      <c r="G264" s="12" t="s">
        <v>494</v>
      </c>
      <c r="H264" s="13" t="s">
        <v>107</v>
      </c>
      <c r="I264" s="13"/>
    </row>
    <row r="265" spans="1:9" ht="16.5">
      <c r="A265" s="6" t="s">
        <v>27</v>
      </c>
      <c r="B265" s="14" t="s">
        <v>151</v>
      </c>
      <c r="C265" s="8" t="s">
        <v>152</v>
      </c>
      <c r="D265" s="9"/>
      <c r="E265" s="10">
        <v>5</v>
      </c>
      <c r="F265" s="11">
        <v>1000</v>
      </c>
      <c r="G265" s="12" t="s">
        <v>494</v>
      </c>
      <c r="H265" s="13" t="s">
        <v>107</v>
      </c>
      <c r="I265" s="13"/>
    </row>
    <row r="266" spans="1:9" ht="16.5">
      <c r="A266" s="15" t="s">
        <v>153</v>
      </c>
      <c r="B266" s="14" t="s">
        <v>154</v>
      </c>
      <c r="C266" s="16" t="s">
        <v>609</v>
      </c>
      <c r="D266" s="9"/>
      <c r="E266" s="17">
        <v>5</v>
      </c>
      <c r="F266" s="18">
        <v>1000</v>
      </c>
      <c r="G266" s="18" t="s">
        <v>494</v>
      </c>
      <c r="H266" s="13" t="s">
        <v>107</v>
      </c>
      <c r="I266" s="13"/>
    </row>
    <row r="267" spans="1:9" ht="16.5">
      <c r="A267" s="6" t="s">
        <v>236</v>
      </c>
      <c r="B267" s="14" t="s">
        <v>237</v>
      </c>
      <c r="C267" s="20" t="s">
        <v>235</v>
      </c>
      <c r="D267" s="9"/>
      <c r="E267" s="10">
        <v>5</v>
      </c>
      <c r="F267" s="21">
        <v>1000</v>
      </c>
      <c r="G267" s="35" t="s">
        <v>494</v>
      </c>
      <c r="H267" s="13" t="s">
        <v>107</v>
      </c>
      <c r="I267" s="13"/>
    </row>
    <row r="268" spans="1:9" ht="16.5">
      <c r="A268" s="6" t="s">
        <v>241</v>
      </c>
      <c r="B268" s="14" t="s">
        <v>170</v>
      </c>
      <c r="C268" s="8" t="s">
        <v>242</v>
      </c>
      <c r="D268" s="9"/>
      <c r="E268" s="10">
        <v>5</v>
      </c>
      <c r="F268" s="11">
        <v>1000</v>
      </c>
      <c r="G268" s="12" t="s">
        <v>494</v>
      </c>
      <c r="H268" s="13" t="s">
        <v>107</v>
      </c>
      <c r="I268" s="13"/>
    </row>
    <row r="269" spans="1:9" ht="16.5">
      <c r="A269" s="15" t="s">
        <v>610</v>
      </c>
      <c r="B269" s="14"/>
      <c r="C269" s="16" t="s">
        <v>611</v>
      </c>
      <c r="D269" s="9"/>
      <c r="E269" s="17">
        <v>5</v>
      </c>
      <c r="F269" s="18">
        <v>1000</v>
      </c>
      <c r="G269" s="18" t="s">
        <v>494</v>
      </c>
      <c r="H269" s="13" t="s">
        <v>107</v>
      </c>
      <c r="I269" s="13"/>
    </row>
    <row r="270" spans="1:9" ht="16.5">
      <c r="A270" s="15" t="s">
        <v>612</v>
      </c>
      <c r="B270" s="14"/>
      <c r="C270" s="16" t="s">
        <v>613</v>
      </c>
      <c r="D270" s="9"/>
      <c r="E270" s="17">
        <v>5</v>
      </c>
      <c r="F270" s="18">
        <v>1000</v>
      </c>
      <c r="G270" s="18" t="s">
        <v>494</v>
      </c>
      <c r="H270" s="13" t="s">
        <v>107</v>
      </c>
      <c r="I270" s="13"/>
    </row>
    <row r="271" spans="1:9" ht="16.5">
      <c r="A271" s="15" t="s">
        <v>614</v>
      </c>
      <c r="B271" s="14"/>
      <c r="C271" s="16" t="s">
        <v>615</v>
      </c>
      <c r="D271" s="9"/>
      <c r="E271" s="17">
        <v>5</v>
      </c>
      <c r="F271" s="18">
        <v>1000</v>
      </c>
      <c r="G271" s="18" t="s">
        <v>494</v>
      </c>
      <c r="H271" s="13" t="s">
        <v>107</v>
      </c>
      <c r="I271" s="13"/>
    </row>
    <row r="272" spans="1:9" ht="16.5">
      <c r="A272" s="15" t="s">
        <v>289</v>
      </c>
      <c r="B272" s="14"/>
      <c r="C272" s="16" t="s">
        <v>290</v>
      </c>
      <c r="D272" s="9"/>
      <c r="E272" s="17">
        <v>5</v>
      </c>
      <c r="F272" s="18">
        <v>1000</v>
      </c>
      <c r="G272" s="18" t="s">
        <v>494</v>
      </c>
      <c r="H272" s="13" t="s">
        <v>107</v>
      </c>
      <c r="I272" s="13"/>
    </row>
    <row r="273" spans="1:9" ht="16.5">
      <c r="A273" s="15" t="s">
        <v>32</v>
      </c>
      <c r="B273" s="14"/>
      <c r="C273" s="16" t="s">
        <v>31</v>
      </c>
      <c r="D273" s="9"/>
      <c r="E273" s="17">
        <v>5</v>
      </c>
      <c r="F273" s="18">
        <v>1000</v>
      </c>
      <c r="G273" s="18" t="s">
        <v>494</v>
      </c>
      <c r="H273" s="13" t="s">
        <v>107</v>
      </c>
      <c r="I273" s="13"/>
    </row>
    <row r="274" spans="1:9" ht="16.5">
      <c r="A274" s="6" t="s">
        <v>616</v>
      </c>
      <c r="B274" s="14"/>
      <c r="C274" s="8" t="s">
        <v>617</v>
      </c>
      <c r="D274" s="9"/>
      <c r="E274" s="10">
        <v>5</v>
      </c>
      <c r="F274" s="11">
        <v>1000</v>
      </c>
      <c r="G274" s="12" t="s">
        <v>494</v>
      </c>
      <c r="H274" s="13" t="s">
        <v>107</v>
      </c>
      <c r="I274" s="13"/>
    </row>
    <row r="275" spans="1:9" ht="16.5">
      <c r="A275" s="6" t="s">
        <v>321</v>
      </c>
      <c r="B275" s="14" t="s">
        <v>162</v>
      </c>
      <c r="C275" s="20" t="s">
        <v>322</v>
      </c>
      <c r="D275" s="9"/>
      <c r="E275" s="10">
        <v>5</v>
      </c>
      <c r="F275" s="18">
        <v>1000</v>
      </c>
      <c r="G275" s="18" t="s">
        <v>494</v>
      </c>
      <c r="H275" s="13" t="s">
        <v>107</v>
      </c>
      <c r="I275" s="13"/>
    </row>
    <row r="276" spans="1:9" ht="16.5">
      <c r="A276" s="6" t="s">
        <v>339</v>
      </c>
      <c r="B276" s="14"/>
      <c r="C276" s="8" t="s">
        <v>340</v>
      </c>
      <c r="D276" s="9"/>
      <c r="E276" s="10">
        <v>5</v>
      </c>
      <c r="F276" s="11">
        <v>1000</v>
      </c>
      <c r="G276" s="12" t="s">
        <v>494</v>
      </c>
      <c r="H276" s="13" t="s">
        <v>107</v>
      </c>
      <c r="I276" s="13"/>
    </row>
    <row r="277" spans="1:9" ht="16.5">
      <c r="A277" s="6" t="s">
        <v>618</v>
      </c>
      <c r="B277" s="14" t="s">
        <v>619</v>
      </c>
      <c r="C277" s="8" t="s">
        <v>620</v>
      </c>
      <c r="D277" s="9"/>
      <c r="E277" s="10">
        <v>5</v>
      </c>
      <c r="F277" s="11">
        <v>1000</v>
      </c>
      <c r="G277" s="12" t="s">
        <v>494</v>
      </c>
      <c r="H277" s="13" t="s">
        <v>107</v>
      </c>
      <c r="I277" s="13"/>
    </row>
    <row r="278" spans="1:9" ht="16.5">
      <c r="A278" s="6" t="s">
        <v>347</v>
      </c>
      <c r="B278" s="14"/>
      <c r="C278" s="8" t="s">
        <v>348</v>
      </c>
      <c r="D278" s="9"/>
      <c r="E278" s="10">
        <v>5</v>
      </c>
      <c r="F278" s="11">
        <v>1000</v>
      </c>
      <c r="G278" s="12" t="s">
        <v>494</v>
      </c>
      <c r="H278" s="13" t="s">
        <v>107</v>
      </c>
      <c r="I278" s="13"/>
    </row>
    <row r="279" spans="1:9" ht="16.5">
      <c r="A279" s="6" t="s">
        <v>370</v>
      </c>
      <c r="B279" s="14"/>
      <c r="C279" s="20" t="s">
        <v>371</v>
      </c>
      <c r="D279" s="9"/>
      <c r="E279" s="17">
        <v>5</v>
      </c>
      <c r="F279" s="18">
        <v>1000</v>
      </c>
      <c r="G279" s="18" t="s">
        <v>494</v>
      </c>
      <c r="H279" s="13" t="s">
        <v>107</v>
      </c>
      <c r="I279" s="13"/>
    </row>
    <row r="280" spans="1:9" ht="16.5">
      <c r="A280" s="6" t="s">
        <v>621</v>
      </c>
      <c r="B280" s="14"/>
      <c r="C280" s="8" t="s">
        <v>622</v>
      </c>
      <c r="D280" s="9"/>
      <c r="E280" s="10">
        <v>5</v>
      </c>
      <c r="F280" s="11">
        <v>1000</v>
      </c>
      <c r="G280" s="12" t="s">
        <v>494</v>
      </c>
      <c r="H280" s="13" t="s">
        <v>107</v>
      </c>
      <c r="I280" s="13"/>
    </row>
    <row r="281" spans="1:9" ht="16.5">
      <c r="A281" s="6" t="s">
        <v>374</v>
      </c>
      <c r="B281" s="14"/>
      <c r="C281" s="8" t="s">
        <v>375</v>
      </c>
      <c r="D281" s="9"/>
      <c r="E281" s="10">
        <v>5</v>
      </c>
      <c r="F281" s="11">
        <v>1000</v>
      </c>
      <c r="G281" s="12" t="s">
        <v>494</v>
      </c>
      <c r="H281" s="13" t="s">
        <v>107</v>
      </c>
      <c r="I281" s="13"/>
    </row>
    <row r="282" spans="1:9" ht="16.5">
      <c r="A282" s="6" t="s">
        <v>623</v>
      </c>
      <c r="B282" s="14"/>
      <c r="C282" s="8" t="s">
        <v>624</v>
      </c>
      <c r="D282" s="9"/>
      <c r="E282" s="10">
        <v>5</v>
      </c>
      <c r="F282" s="11">
        <v>1000</v>
      </c>
      <c r="G282" s="12" t="s">
        <v>494</v>
      </c>
      <c r="H282" s="13" t="s">
        <v>107</v>
      </c>
      <c r="I282" s="13"/>
    </row>
    <row r="283" spans="1:9" ht="16.5">
      <c r="A283" s="6" t="s">
        <v>625</v>
      </c>
      <c r="B283" s="14" t="s">
        <v>626</v>
      </c>
      <c r="C283" s="8" t="s">
        <v>627</v>
      </c>
      <c r="D283" s="9"/>
      <c r="E283" s="10">
        <v>5</v>
      </c>
      <c r="F283" s="11">
        <v>1000</v>
      </c>
      <c r="G283" s="12" t="s">
        <v>494</v>
      </c>
      <c r="H283" s="13" t="s">
        <v>107</v>
      </c>
      <c r="I283" s="13"/>
    </row>
    <row r="284" spans="1:9" ht="16.5">
      <c r="A284" s="6" t="s">
        <v>628</v>
      </c>
      <c r="B284" s="14" t="s">
        <v>629</v>
      </c>
      <c r="C284" s="20" t="s">
        <v>630</v>
      </c>
      <c r="D284" s="9"/>
      <c r="E284" s="10">
        <v>5</v>
      </c>
      <c r="F284" s="18">
        <v>1000</v>
      </c>
      <c r="G284" s="18" t="s">
        <v>494</v>
      </c>
      <c r="H284" s="13" t="s">
        <v>107</v>
      </c>
      <c r="I284" s="13"/>
    </row>
    <row r="285" spans="1:9" ht="16.5">
      <c r="A285" s="6" t="s">
        <v>631</v>
      </c>
      <c r="B285" s="14" t="s">
        <v>626</v>
      </c>
      <c r="C285" s="8" t="s">
        <v>630</v>
      </c>
      <c r="D285" s="9"/>
      <c r="E285" s="10">
        <v>5</v>
      </c>
      <c r="F285" s="11">
        <v>1000</v>
      </c>
      <c r="G285" s="12" t="s">
        <v>494</v>
      </c>
      <c r="H285" s="13" t="s">
        <v>107</v>
      </c>
      <c r="I285" s="13"/>
    </row>
    <row r="286" spans="1:9" ht="16.5">
      <c r="A286" s="6" t="s">
        <v>632</v>
      </c>
      <c r="B286" s="14"/>
      <c r="C286" s="8" t="s">
        <v>633</v>
      </c>
      <c r="D286" s="9"/>
      <c r="E286" s="10">
        <v>5</v>
      </c>
      <c r="F286" s="11">
        <v>1000</v>
      </c>
      <c r="G286" s="12" t="s">
        <v>494</v>
      </c>
      <c r="H286" s="13" t="s">
        <v>107</v>
      </c>
      <c r="I286" s="13"/>
    </row>
    <row r="287" spans="1:9" ht="16.5">
      <c r="A287" s="6" t="s">
        <v>634</v>
      </c>
      <c r="B287" s="14" t="s">
        <v>162</v>
      </c>
      <c r="C287" s="8" t="s">
        <v>635</v>
      </c>
      <c r="D287" s="9"/>
      <c r="E287" s="10">
        <v>5</v>
      </c>
      <c r="F287" s="11">
        <v>1000</v>
      </c>
      <c r="G287" s="12" t="s">
        <v>494</v>
      </c>
      <c r="H287" s="13" t="s">
        <v>107</v>
      </c>
      <c r="I287" s="13"/>
    </row>
    <row r="288" spans="1:9" ht="16.5">
      <c r="A288" s="6" t="s">
        <v>422</v>
      </c>
      <c r="B288" s="14"/>
      <c r="C288" s="20" t="s">
        <v>423</v>
      </c>
      <c r="D288" s="9"/>
      <c r="E288" s="10">
        <v>5</v>
      </c>
      <c r="F288" s="21">
        <v>1000</v>
      </c>
      <c r="G288" s="22" t="s">
        <v>494</v>
      </c>
      <c r="H288" s="13" t="s">
        <v>107</v>
      </c>
      <c r="I288" s="13"/>
    </row>
    <row r="289" spans="1:9" ht="16.5">
      <c r="A289" s="6" t="s">
        <v>434</v>
      </c>
      <c r="B289" s="14"/>
      <c r="C289" s="8" t="s">
        <v>435</v>
      </c>
      <c r="D289" s="9"/>
      <c r="E289" s="10">
        <v>5</v>
      </c>
      <c r="F289" s="11">
        <v>1000</v>
      </c>
      <c r="G289" s="12" t="s">
        <v>494</v>
      </c>
      <c r="H289" s="13" t="s">
        <v>107</v>
      </c>
      <c r="I289" s="13"/>
    </row>
    <row r="290" spans="1:9" ht="16.5">
      <c r="A290" s="6" t="s">
        <v>636</v>
      </c>
      <c r="B290" s="14"/>
      <c r="C290" s="20" t="s">
        <v>637</v>
      </c>
      <c r="D290" s="9"/>
      <c r="E290" s="10">
        <v>5</v>
      </c>
      <c r="F290" s="18">
        <v>1000</v>
      </c>
      <c r="G290" s="18" t="s">
        <v>494</v>
      </c>
      <c r="H290" s="13" t="s">
        <v>107</v>
      </c>
      <c r="I290" s="13"/>
    </row>
    <row r="291" spans="1:9" ht="16.5">
      <c r="A291" s="6" t="s">
        <v>85</v>
      </c>
      <c r="B291" s="14"/>
      <c r="C291" s="8" t="s">
        <v>84</v>
      </c>
      <c r="D291" s="9"/>
      <c r="E291" s="10">
        <v>5</v>
      </c>
      <c r="F291" s="11">
        <v>1000</v>
      </c>
      <c r="G291" s="12" t="s">
        <v>494</v>
      </c>
      <c r="H291" s="13" t="s">
        <v>107</v>
      </c>
      <c r="I291" s="13"/>
    </row>
    <row r="292" spans="1:9" ht="16.5">
      <c r="A292" s="6" t="s">
        <v>464</v>
      </c>
      <c r="B292" s="14" t="s">
        <v>455</v>
      </c>
      <c r="C292" s="8" t="s">
        <v>465</v>
      </c>
      <c r="D292" s="9"/>
      <c r="E292" s="10">
        <v>5</v>
      </c>
      <c r="F292" s="11">
        <v>1000</v>
      </c>
      <c r="G292" s="12" t="s">
        <v>494</v>
      </c>
      <c r="H292" s="13" t="s">
        <v>107</v>
      </c>
      <c r="I292" s="13"/>
    </row>
    <row r="293" spans="1:9" ht="16.5">
      <c r="A293" s="6" t="s">
        <v>471</v>
      </c>
      <c r="B293" s="14"/>
      <c r="C293" s="8" t="s">
        <v>472</v>
      </c>
      <c r="D293" s="9"/>
      <c r="E293" s="10">
        <v>5</v>
      </c>
      <c r="F293" s="11">
        <v>1000</v>
      </c>
      <c r="G293" s="12" t="s">
        <v>494</v>
      </c>
      <c r="H293" s="13" t="s">
        <v>107</v>
      </c>
      <c r="I293" s="13"/>
    </row>
    <row r="294" spans="1:9" ht="16.5">
      <c r="A294" s="6" t="s">
        <v>638</v>
      </c>
      <c r="B294" s="7"/>
      <c r="C294" s="8" t="s">
        <v>639</v>
      </c>
      <c r="D294" s="9"/>
      <c r="E294" s="10">
        <v>5</v>
      </c>
      <c r="F294" s="11">
        <v>1000</v>
      </c>
      <c r="G294" s="12" t="s">
        <v>494</v>
      </c>
      <c r="H294" s="13" t="s">
        <v>107</v>
      </c>
      <c r="I294" s="13"/>
    </row>
    <row r="295" spans="1:9" ht="16.5">
      <c r="A295" s="6" t="s">
        <v>640</v>
      </c>
      <c r="B295" s="14"/>
      <c r="C295" s="8" t="s">
        <v>641</v>
      </c>
      <c r="D295" s="9"/>
      <c r="E295" s="10">
        <v>5</v>
      </c>
      <c r="F295" s="11">
        <v>1000</v>
      </c>
      <c r="G295" s="12" t="s">
        <v>494</v>
      </c>
      <c r="H295" s="13" t="s">
        <v>107</v>
      </c>
      <c r="I295" s="13"/>
    </row>
    <row r="296" spans="1:9" ht="16.5">
      <c r="A296" s="15" t="s">
        <v>642</v>
      </c>
      <c r="B296" s="14"/>
      <c r="C296" s="16" t="s">
        <v>643</v>
      </c>
      <c r="D296" s="9"/>
      <c r="E296" s="17">
        <v>5</v>
      </c>
      <c r="F296" s="18">
        <v>1000</v>
      </c>
      <c r="G296" s="18" t="s">
        <v>494</v>
      </c>
      <c r="H296" s="13" t="s">
        <v>107</v>
      </c>
      <c r="I296" s="13"/>
    </row>
    <row r="297" spans="1:9" ht="16.5">
      <c r="A297" s="6" t="s">
        <v>644</v>
      </c>
      <c r="B297" s="14"/>
      <c r="C297" s="8" t="s">
        <v>645</v>
      </c>
      <c r="D297" s="9"/>
      <c r="E297" s="10">
        <v>5</v>
      </c>
      <c r="F297" s="11">
        <v>1000</v>
      </c>
      <c r="G297" s="12" t="s">
        <v>494</v>
      </c>
      <c r="H297" s="13" t="s">
        <v>107</v>
      </c>
      <c r="I297" s="13"/>
    </row>
    <row r="298" spans="1:9" ht="16.5">
      <c r="A298" s="6" t="s">
        <v>646</v>
      </c>
      <c r="B298" s="14"/>
      <c r="C298" s="8" t="s">
        <v>647</v>
      </c>
      <c r="D298" s="9"/>
      <c r="E298" s="10">
        <v>5</v>
      </c>
      <c r="F298" s="11">
        <v>1000</v>
      </c>
      <c r="G298" s="12" t="s">
        <v>494</v>
      </c>
      <c r="H298" s="13" t="s">
        <v>107</v>
      </c>
      <c r="I298" s="13"/>
    </row>
    <row r="299" spans="1:9" ht="16.5">
      <c r="A299" s="6" t="s">
        <v>648</v>
      </c>
      <c r="B299" s="14"/>
      <c r="C299" s="8" t="s">
        <v>649</v>
      </c>
      <c r="D299" s="9"/>
      <c r="E299" s="10">
        <v>5</v>
      </c>
      <c r="F299" s="11">
        <v>1000</v>
      </c>
      <c r="G299" s="12" t="s">
        <v>494</v>
      </c>
      <c r="H299" s="13" t="s">
        <v>107</v>
      </c>
      <c r="I299" s="13"/>
    </row>
    <row r="300" spans="1:9" ht="16.5">
      <c r="A300" s="15" t="s">
        <v>650</v>
      </c>
      <c r="B300" s="14"/>
      <c r="C300" s="16" t="s">
        <v>651</v>
      </c>
      <c r="D300" s="9"/>
      <c r="E300" s="17">
        <v>5</v>
      </c>
      <c r="F300" s="18">
        <v>1000</v>
      </c>
      <c r="G300" s="18" t="s">
        <v>494</v>
      </c>
      <c r="H300" s="13" t="s">
        <v>107</v>
      </c>
      <c r="I300" s="13"/>
    </row>
    <row r="301" spans="1:9" ht="16.5">
      <c r="A301" s="6" t="s">
        <v>652</v>
      </c>
      <c r="B301" s="14"/>
      <c r="C301" s="8" t="s">
        <v>653</v>
      </c>
      <c r="D301" s="9"/>
      <c r="E301" s="10">
        <v>5</v>
      </c>
      <c r="F301" s="11">
        <v>1000</v>
      </c>
      <c r="G301" s="12" t="s">
        <v>494</v>
      </c>
      <c r="H301" s="13" t="s">
        <v>107</v>
      </c>
      <c r="I301" s="13"/>
    </row>
    <row r="302" spans="1:9" ht="16.5">
      <c r="A302" s="6" t="s">
        <v>654</v>
      </c>
      <c r="B302" s="14"/>
      <c r="C302" s="8" t="s">
        <v>655</v>
      </c>
      <c r="D302" s="9"/>
      <c r="E302" s="10">
        <v>5</v>
      </c>
      <c r="F302" s="11">
        <v>1000</v>
      </c>
      <c r="G302" s="12" t="s">
        <v>494</v>
      </c>
      <c r="H302" s="13" t="s">
        <v>107</v>
      </c>
      <c r="I302" s="13"/>
    </row>
    <row r="303" spans="1:9" ht="16.5">
      <c r="A303" s="6" t="s">
        <v>656</v>
      </c>
      <c r="B303" s="14"/>
      <c r="C303" s="8" t="s">
        <v>322</v>
      </c>
      <c r="D303" s="9"/>
      <c r="E303" s="10">
        <v>5</v>
      </c>
      <c r="F303" s="11">
        <v>1000</v>
      </c>
      <c r="G303" s="12" t="s">
        <v>494</v>
      </c>
      <c r="H303" s="13" t="s">
        <v>107</v>
      </c>
      <c r="I303" s="13"/>
    </row>
    <row r="304" spans="1:9" ht="16.5">
      <c r="A304" s="6" t="s">
        <v>657</v>
      </c>
      <c r="B304" s="14"/>
      <c r="C304" s="8" t="s">
        <v>658</v>
      </c>
      <c r="D304" s="9"/>
      <c r="E304" s="10">
        <v>5</v>
      </c>
      <c r="F304" s="11">
        <v>1000</v>
      </c>
      <c r="G304" s="12" t="s">
        <v>494</v>
      </c>
      <c r="H304" s="13" t="s">
        <v>107</v>
      </c>
      <c r="I304" s="13"/>
    </row>
    <row r="305" spans="1:9" ht="16.5">
      <c r="A305" s="6" t="s">
        <v>659</v>
      </c>
      <c r="B305" s="14"/>
      <c r="C305" s="8" t="s">
        <v>660</v>
      </c>
      <c r="D305" s="9"/>
      <c r="E305" s="10">
        <v>5</v>
      </c>
      <c r="F305" s="11">
        <v>1000</v>
      </c>
      <c r="G305" s="12" t="s">
        <v>494</v>
      </c>
      <c r="H305" s="13" t="s">
        <v>107</v>
      </c>
      <c r="I305" s="13"/>
    </row>
    <row r="306" spans="1:9" ht="16.5">
      <c r="A306" s="6" t="s">
        <v>661</v>
      </c>
      <c r="B306" s="14"/>
      <c r="C306" s="20" t="s">
        <v>662</v>
      </c>
      <c r="D306" s="9"/>
      <c r="E306" s="10">
        <v>5</v>
      </c>
      <c r="F306" s="21">
        <v>1000</v>
      </c>
      <c r="G306" s="22" t="s">
        <v>494</v>
      </c>
      <c r="H306" s="13" t="s">
        <v>107</v>
      </c>
      <c r="I306" s="13"/>
    </row>
    <row r="307" spans="1:9" ht="16.5">
      <c r="A307" s="6" t="s">
        <v>663</v>
      </c>
      <c r="B307" s="14"/>
      <c r="C307" s="20" t="s">
        <v>664</v>
      </c>
      <c r="D307" s="9"/>
      <c r="E307" s="10">
        <v>5</v>
      </c>
      <c r="F307" s="21">
        <v>1000</v>
      </c>
      <c r="G307" s="22" t="s">
        <v>494</v>
      </c>
      <c r="H307" s="13" t="s">
        <v>107</v>
      </c>
      <c r="I307" s="13"/>
    </row>
    <row r="308" spans="1:9" ht="16.5">
      <c r="A308" s="6" t="s">
        <v>665</v>
      </c>
      <c r="B308" s="14"/>
      <c r="C308" s="8" t="s">
        <v>666</v>
      </c>
      <c r="D308" s="9"/>
      <c r="E308" s="10">
        <v>5</v>
      </c>
      <c r="F308" s="11">
        <v>1000</v>
      </c>
      <c r="G308" s="12" t="s">
        <v>494</v>
      </c>
      <c r="H308" s="13" t="s">
        <v>107</v>
      </c>
      <c r="I308" s="13"/>
    </row>
    <row r="309" spans="1:9" ht="16.5">
      <c r="A309" s="6" t="s">
        <v>667</v>
      </c>
      <c r="B309" s="14"/>
      <c r="C309" s="8" t="s">
        <v>668</v>
      </c>
      <c r="D309" s="9"/>
      <c r="E309" s="10">
        <v>5</v>
      </c>
      <c r="F309" s="21">
        <v>1000</v>
      </c>
      <c r="G309" s="22" t="s">
        <v>494</v>
      </c>
      <c r="H309" s="13" t="s">
        <v>107</v>
      </c>
      <c r="I309" s="13"/>
    </row>
    <row r="310" spans="1:9" ht="16.5">
      <c r="A310" s="6" t="s">
        <v>669</v>
      </c>
      <c r="B310" s="14"/>
      <c r="C310" s="8" t="s">
        <v>465</v>
      </c>
      <c r="D310" s="9"/>
      <c r="E310" s="10">
        <v>5</v>
      </c>
      <c r="F310" s="11">
        <v>1000</v>
      </c>
      <c r="G310" s="12" t="s">
        <v>494</v>
      </c>
      <c r="H310" s="13" t="s">
        <v>107</v>
      </c>
      <c r="I310" s="13"/>
    </row>
    <row r="311" spans="1:9" ht="16.5">
      <c r="A311" s="6" t="s">
        <v>86</v>
      </c>
      <c r="B311" s="14"/>
      <c r="C311" s="8" t="s">
        <v>475</v>
      </c>
      <c r="D311" s="9"/>
      <c r="E311" s="10">
        <v>5</v>
      </c>
      <c r="F311" s="11">
        <v>1000</v>
      </c>
      <c r="G311" s="12" t="s">
        <v>494</v>
      </c>
      <c r="H311" s="13" t="s">
        <v>107</v>
      </c>
      <c r="I311" s="13"/>
    </row>
    <row r="312" spans="1:9" ht="16.5">
      <c r="A312" s="6" t="s">
        <v>670</v>
      </c>
      <c r="B312" s="14"/>
      <c r="C312" s="20" t="s">
        <v>671</v>
      </c>
      <c r="D312" s="9"/>
      <c r="E312" s="10">
        <v>5</v>
      </c>
      <c r="F312" s="21">
        <v>1000</v>
      </c>
      <c r="G312" s="22" t="s">
        <v>494</v>
      </c>
      <c r="H312" s="13" t="s">
        <v>107</v>
      </c>
      <c r="I312" s="13"/>
    </row>
    <row r="313" spans="1:9" ht="16.5">
      <c r="A313" s="6" t="s">
        <v>672</v>
      </c>
      <c r="B313" s="14"/>
      <c r="C313" s="8" t="s">
        <v>673</v>
      </c>
      <c r="D313" s="9"/>
      <c r="E313" s="10">
        <v>5</v>
      </c>
      <c r="F313" s="11">
        <v>1000</v>
      </c>
      <c r="G313" s="12" t="s">
        <v>494</v>
      </c>
      <c r="H313" s="13" t="s">
        <v>107</v>
      </c>
      <c r="I313" s="13"/>
    </row>
    <row r="314" spans="1:9" ht="16.5">
      <c r="A314" s="6" t="s">
        <v>674</v>
      </c>
      <c r="B314" s="14"/>
      <c r="C314" s="20" t="s">
        <v>675</v>
      </c>
      <c r="D314" s="9"/>
      <c r="E314" s="10">
        <v>5</v>
      </c>
      <c r="F314" s="21">
        <v>1000</v>
      </c>
      <c r="G314" s="21" t="s">
        <v>494</v>
      </c>
      <c r="H314" s="13" t="s">
        <v>107</v>
      </c>
      <c r="I314" s="13"/>
    </row>
    <row r="315" spans="1:9" ht="16.5">
      <c r="A315" s="6" t="s">
        <v>676</v>
      </c>
      <c r="B315" s="14"/>
      <c r="C315" s="8" t="s">
        <v>677</v>
      </c>
      <c r="D315" s="9"/>
      <c r="E315" s="10">
        <v>5</v>
      </c>
      <c r="F315" s="11">
        <v>1000</v>
      </c>
      <c r="G315" s="12" t="s">
        <v>494</v>
      </c>
      <c r="H315" s="13" t="s">
        <v>107</v>
      </c>
      <c r="I315" s="13"/>
    </row>
    <row r="316" spans="1:9" ht="16.5">
      <c r="A316" s="6" t="s">
        <v>678</v>
      </c>
      <c r="B316" s="14"/>
      <c r="C316" s="20" t="s">
        <v>679</v>
      </c>
      <c r="D316" s="9"/>
      <c r="E316" s="10">
        <v>5</v>
      </c>
      <c r="F316" s="21">
        <v>1000</v>
      </c>
      <c r="G316" s="41" t="s">
        <v>494</v>
      </c>
      <c r="H316" s="13" t="s">
        <v>107</v>
      </c>
      <c r="I316" s="13"/>
    </row>
    <row r="317" spans="1:9" ht="16.5">
      <c r="A317" s="6" t="s">
        <v>680</v>
      </c>
      <c r="B317" s="14"/>
      <c r="C317" s="8" t="s">
        <v>681</v>
      </c>
      <c r="D317" s="9"/>
      <c r="E317" s="10">
        <v>5</v>
      </c>
      <c r="F317" s="11">
        <v>1000</v>
      </c>
      <c r="G317" s="12" t="s">
        <v>494</v>
      </c>
      <c r="H317" s="13" t="s">
        <v>107</v>
      </c>
      <c r="I317" s="13"/>
    </row>
    <row r="318" spans="1:9" ht="16.5">
      <c r="A318" s="6" t="s">
        <v>682</v>
      </c>
      <c r="B318" s="14"/>
      <c r="C318" s="8" t="s">
        <v>683</v>
      </c>
      <c r="D318" s="9"/>
      <c r="E318" s="10">
        <v>5</v>
      </c>
      <c r="F318" s="11">
        <v>1000</v>
      </c>
      <c r="G318" s="12" t="s">
        <v>494</v>
      </c>
      <c r="H318" s="13" t="s">
        <v>107</v>
      </c>
      <c r="I318" s="13"/>
    </row>
    <row r="319" spans="1:9" ht="16.5">
      <c r="A319" s="6" t="s">
        <v>684</v>
      </c>
      <c r="B319" s="14"/>
      <c r="C319" s="8" t="s">
        <v>685</v>
      </c>
      <c r="D319" s="9"/>
      <c r="E319" s="10">
        <v>5</v>
      </c>
      <c r="F319" s="11">
        <v>1000</v>
      </c>
      <c r="G319" s="12" t="s">
        <v>494</v>
      </c>
      <c r="H319" s="13" t="s">
        <v>107</v>
      </c>
      <c r="I319" s="13"/>
    </row>
    <row r="320" spans="1:9" ht="16.5">
      <c r="A320" s="6" t="s">
        <v>686</v>
      </c>
      <c r="B320" s="14"/>
      <c r="C320" s="8" t="s">
        <v>687</v>
      </c>
      <c r="D320" s="9"/>
      <c r="E320" s="10">
        <v>5</v>
      </c>
      <c r="F320" s="11">
        <v>1000</v>
      </c>
      <c r="G320" s="12" t="s">
        <v>494</v>
      </c>
      <c r="H320" s="13" t="s">
        <v>107</v>
      </c>
      <c r="I320" s="13"/>
    </row>
    <row r="321" spans="1:9" ht="16.5">
      <c r="A321" s="6" t="s">
        <v>688</v>
      </c>
      <c r="B321" s="14"/>
      <c r="C321" s="20" t="s">
        <v>689</v>
      </c>
      <c r="D321" s="9"/>
      <c r="E321" s="10">
        <v>5</v>
      </c>
      <c r="F321" s="21">
        <v>1000</v>
      </c>
      <c r="G321" s="22" t="s">
        <v>494</v>
      </c>
      <c r="H321" s="13" t="s">
        <v>107</v>
      </c>
      <c r="I321" s="13"/>
    </row>
    <row r="322" spans="1:9" ht="16.5">
      <c r="A322" s="6" t="s">
        <v>690</v>
      </c>
      <c r="B322" s="14"/>
      <c r="C322" s="20" t="s">
        <v>691</v>
      </c>
      <c r="D322" s="9"/>
      <c r="E322" s="10">
        <v>5</v>
      </c>
      <c r="F322" s="21">
        <v>1000</v>
      </c>
      <c r="G322" s="35" t="s">
        <v>494</v>
      </c>
      <c r="H322" s="13" t="s">
        <v>107</v>
      </c>
      <c r="I322" s="13"/>
    </row>
    <row r="323" spans="1:9" ht="16.5">
      <c r="A323" s="6" t="s">
        <v>692</v>
      </c>
      <c r="B323" s="14"/>
      <c r="C323" s="8" t="s">
        <v>693</v>
      </c>
      <c r="D323" s="9"/>
      <c r="E323" s="10">
        <v>5</v>
      </c>
      <c r="F323" s="11">
        <v>1000</v>
      </c>
      <c r="G323" s="12" t="s">
        <v>494</v>
      </c>
      <c r="H323" s="13" t="s">
        <v>107</v>
      </c>
      <c r="I323" s="13"/>
    </row>
    <row r="324" spans="1:9" ht="16.5">
      <c r="A324" s="6" t="s">
        <v>694</v>
      </c>
      <c r="B324" s="14"/>
      <c r="C324" s="8" t="s">
        <v>695</v>
      </c>
      <c r="D324" s="9"/>
      <c r="E324" s="10">
        <v>5</v>
      </c>
      <c r="F324" s="11">
        <v>1000</v>
      </c>
      <c r="G324" s="12" t="s">
        <v>494</v>
      </c>
      <c r="H324" s="13" t="s">
        <v>107</v>
      </c>
      <c r="I324" s="13"/>
    </row>
    <row r="325" spans="1:9" ht="16.5">
      <c r="A325" s="15" t="s">
        <v>696</v>
      </c>
      <c r="B325" s="14"/>
      <c r="C325" s="16" t="s">
        <v>697</v>
      </c>
      <c r="D325" s="9"/>
      <c r="E325" s="17">
        <v>5</v>
      </c>
      <c r="F325" s="18">
        <v>1000</v>
      </c>
      <c r="G325" s="18" t="s">
        <v>494</v>
      </c>
      <c r="H325" s="13" t="s">
        <v>107</v>
      </c>
      <c r="I325" s="13"/>
    </row>
    <row r="326" spans="1:9" ht="16.5">
      <c r="A326" s="15" t="s">
        <v>698</v>
      </c>
      <c r="B326" s="14"/>
      <c r="C326" s="16" t="s">
        <v>699</v>
      </c>
      <c r="D326" s="9"/>
      <c r="E326" s="17">
        <v>5</v>
      </c>
      <c r="F326" s="18">
        <v>1000</v>
      </c>
      <c r="G326" s="18" t="s">
        <v>494</v>
      </c>
      <c r="H326" s="13" t="s">
        <v>107</v>
      </c>
      <c r="I326" s="13"/>
    </row>
    <row r="327" spans="1:9">
      <c r="A327" s="15" t="s">
        <v>700</v>
      </c>
      <c r="C327" s="16" t="s">
        <v>387</v>
      </c>
      <c r="E327" s="17">
        <v>2</v>
      </c>
    </row>
  </sheetData>
  <sheetProtection algorithmName="SHA-512" hashValue="4hUgCZO4skSu2zVEoG+wDUkhdMkmAODYS44LSqk8QVgNL49t000IY2ddJ0Yhaq4tEziE3MvP86CAilQv63BLEA==" saltValue="F5znQ1DPYH9r9CEd1lY2x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115" zoomScaleNormal="115" workbookViewId="0">
      <selection activeCell="C4" sqref="C4:F4"/>
    </sheetView>
  </sheetViews>
  <sheetFormatPr defaultColWidth="9.140625" defaultRowHeight="12.75"/>
  <cols>
    <col min="1" max="1" width="24.85546875" style="43" customWidth="1"/>
    <col min="2" max="2" width="20.140625" style="43" customWidth="1"/>
    <col min="3" max="3" width="11.28515625" style="43" customWidth="1"/>
    <col min="4" max="4" width="13.28515625" style="43" customWidth="1"/>
    <col min="5" max="6" width="9.140625" style="43"/>
    <col min="7" max="7" width="9.140625" style="98" customWidth="1"/>
    <col min="8" max="8" width="9.140625" style="44"/>
    <col min="9" max="9" width="3.7109375" style="98" customWidth="1"/>
    <col min="10" max="10" width="9.140625" style="98"/>
    <col min="11" max="16384" width="9.140625" style="43"/>
  </cols>
  <sheetData>
    <row r="1" spans="1:8" ht="15" customHeight="1">
      <c r="B1" s="83" t="s">
        <v>768</v>
      </c>
    </row>
    <row r="2" spans="1:8" ht="15" customHeight="1">
      <c r="A2" s="48" t="s">
        <v>772</v>
      </c>
      <c r="B2" s="48" t="s">
        <v>715</v>
      </c>
      <c r="C2" s="46"/>
      <c r="D2" s="46"/>
      <c r="E2" s="46"/>
      <c r="F2" s="46"/>
      <c r="G2" s="45"/>
    </row>
    <row r="3" spans="1:8" ht="15" customHeight="1">
      <c r="A3" s="86" t="s">
        <v>774</v>
      </c>
      <c r="B3" s="46"/>
      <c r="C3" s="46"/>
      <c r="D3" s="46"/>
      <c r="E3" s="46"/>
      <c r="F3" s="46"/>
      <c r="G3" s="45"/>
    </row>
    <row r="4" spans="1:8" ht="15" customHeight="1">
      <c r="A4" s="291" t="s">
        <v>715</v>
      </c>
      <c r="B4" s="291"/>
      <c r="C4" s="292" t="s">
        <v>878</v>
      </c>
      <c r="D4" s="292"/>
      <c r="E4" s="292"/>
      <c r="F4" s="292"/>
      <c r="G4" s="45"/>
      <c r="H4" s="47" t="str">
        <f>IF(C4="Distillate","D","R")</f>
        <v>D</v>
      </c>
    </row>
    <row r="5" spans="1:8" ht="15" hidden="1" customHeight="1">
      <c r="A5" s="293" t="s">
        <v>775</v>
      </c>
      <c r="B5" s="293"/>
      <c r="C5" s="293"/>
      <c r="D5" s="46"/>
      <c r="E5" s="46"/>
      <c r="F5" s="46"/>
      <c r="G5" s="45"/>
    </row>
    <row r="6" spans="1:8" ht="15" customHeight="1">
      <c r="A6" s="294"/>
      <c r="B6" s="294"/>
      <c r="C6" s="294"/>
      <c r="D6" s="46"/>
      <c r="E6" s="46"/>
      <c r="F6" s="46"/>
      <c r="G6" s="45"/>
    </row>
    <row r="7" spans="1:8" ht="15" customHeight="1">
      <c r="A7" s="291" t="s">
        <v>716</v>
      </c>
      <c r="B7" s="291"/>
      <c r="C7" s="292" t="s">
        <v>717</v>
      </c>
      <c r="D7" s="292"/>
      <c r="E7" s="292"/>
      <c r="F7" s="292"/>
      <c r="G7" s="45"/>
      <c r="H7" s="44">
        <f>IF(C7="No.6 Oil",6,IF(C7="No.5 Oil",5,IF(C7="No.4 Oil",4)))</f>
        <v>6</v>
      </c>
    </row>
    <row r="8" spans="1:8" ht="15" customHeight="1">
      <c r="A8" s="48"/>
      <c r="B8" s="46"/>
      <c r="C8" s="46"/>
      <c r="D8" s="46"/>
      <c r="E8" s="46"/>
      <c r="F8" s="46"/>
      <c r="G8" s="45"/>
    </row>
    <row r="9" spans="1:8" ht="15" customHeight="1">
      <c r="A9" s="48" t="s">
        <v>818</v>
      </c>
      <c r="B9" s="48" t="s">
        <v>2</v>
      </c>
      <c r="C9" s="46"/>
      <c r="D9" s="46"/>
      <c r="E9" s="46"/>
      <c r="F9" s="46"/>
      <c r="G9" s="45"/>
      <c r="H9" s="57"/>
    </row>
    <row r="10" spans="1:8" ht="15" customHeight="1">
      <c r="A10" s="301" t="s">
        <v>879</v>
      </c>
      <c r="B10" s="301"/>
      <c r="C10" s="301"/>
      <c r="D10" s="301"/>
      <c r="E10" s="301"/>
      <c r="F10" s="301"/>
      <c r="G10" s="45"/>
      <c r="H10" s="57"/>
    </row>
    <row r="11" spans="1:8" ht="15" customHeight="1">
      <c r="A11" s="301"/>
      <c r="B11" s="301"/>
      <c r="C11" s="301"/>
      <c r="D11" s="301"/>
      <c r="E11" s="301"/>
      <c r="F11" s="301"/>
      <c r="G11" s="45"/>
      <c r="H11" s="57"/>
    </row>
    <row r="12" spans="1:8" ht="15" customHeight="1">
      <c r="A12" s="45" t="s">
        <v>835</v>
      </c>
      <c r="B12" s="45"/>
      <c r="C12" s="46"/>
      <c r="D12" s="46"/>
      <c r="E12" s="46"/>
      <c r="F12" s="46"/>
      <c r="G12" s="45"/>
      <c r="H12" s="57"/>
    </row>
    <row r="13" spans="1:8" ht="15" customHeight="1">
      <c r="A13" s="284" t="s">
        <v>3</v>
      </c>
      <c r="B13" s="284"/>
      <c r="C13" s="51" t="s">
        <v>769</v>
      </c>
      <c r="D13" s="46"/>
      <c r="E13" s="46"/>
      <c r="F13" s="46"/>
      <c r="G13" s="45"/>
      <c r="H13" s="57"/>
    </row>
    <row r="14" spans="1:8" ht="15" customHeight="1">
      <c r="A14" s="282" t="s">
        <v>4</v>
      </c>
      <c r="B14" s="282"/>
      <c r="C14" s="277"/>
      <c r="D14" s="46"/>
      <c r="E14" s="46"/>
      <c r="F14" s="46"/>
      <c r="G14" s="45"/>
      <c r="H14" s="57"/>
    </row>
    <row r="15" spans="1:8" ht="15" customHeight="1">
      <c r="A15" s="282" t="s">
        <v>5</v>
      </c>
      <c r="B15" s="282"/>
      <c r="C15" s="52">
        <v>39</v>
      </c>
      <c r="D15" s="46"/>
      <c r="E15" s="46"/>
      <c r="F15" s="46"/>
      <c r="G15" s="45"/>
      <c r="H15" s="57"/>
    </row>
    <row r="16" spans="1:8" ht="15" customHeight="1">
      <c r="A16" s="285" t="s">
        <v>6</v>
      </c>
      <c r="B16" s="285"/>
      <c r="C16" s="93">
        <f>IF(C14="",C15,C14)</f>
        <v>39</v>
      </c>
      <c r="D16" s="46"/>
      <c r="E16" s="46"/>
      <c r="F16" s="46"/>
      <c r="G16" s="45"/>
      <c r="H16" s="57"/>
    </row>
    <row r="17" spans="1:7" ht="15" customHeight="1">
      <c r="A17" s="48"/>
      <c r="B17" s="46"/>
      <c r="C17" s="46"/>
      <c r="D17" s="46"/>
      <c r="E17" s="46"/>
      <c r="F17" s="46"/>
      <c r="G17" s="45"/>
    </row>
    <row r="18" spans="1:7" ht="15" customHeight="1">
      <c r="A18" s="48" t="s">
        <v>773</v>
      </c>
      <c r="B18" s="48" t="s">
        <v>0</v>
      </c>
      <c r="C18" s="46"/>
      <c r="D18" s="46"/>
      <c r="E18" s="46"/>
      <c r="F18" s="46"/>
      <c r="G18" s="45"/>
    </row>
    <row r="19" spans="1:7" ht="15" customHeight="1">
      <c r="A19" s="45" t="s">
        <v>816</v>
      </c>
      <c r="B19" s="46"/>
      <c r="C19" s="46"/>
      <c r="D19" s="46"/>
      <c r="E19" s="46"/>
      <c r="F19" s="46"/>
      <c r="G19" s="45"/>
    </row>
    <row r="20" spans="1:7" ht="15" customHeight="1">
      <c r="A20" s="49" t="s">
        <v>776</v>
      </c>
      <c r="B20" s="49" t="s">
        <v>0</v>
      </c>
      <c r="C20" s="49" t="s">
        <v>806</v>
      </c>
      <c r="D20" s="49" t="s">
        <v>815</v>
      </c>
      <c r="E20" s="46"/>
      <c r="F20" s="46"/>
      <c r="G20" s="45"/>
    </row>
    <row r="21" spans="1:7" ht="15" customHeight="1">
      <c r="A21" s="50" t="s">
        <v>777</v>
      </c>
      <c r="B21" s="84"/>
      <c r="C21" s="71" t="s">
        <v>817</v>
      </c>
      <c r="D21" s="97" t="str">
        <f t="shared" ref="D21:D32" si="0">IFERROR(B21/$B$33,"")</f>
        <v/>
      </c>
      <c r="E21" s="46"/>
      <c r="F21" s="46"/>
      <c r="G21" s="45"/>
    </row>
    <row r="22" spans="1:7" ht="15" customHeight="1">
      <c r="A22" s="50" t="s">
        <v>778</v>
      </c>
      <c r="B22" s="84"/>
      <c r="C22" s="71" t="s">
        <v>817</v>
      </c>
      <c r="D22" s="97" t="str">
        <f t="shared" si="0"/>
        <v/>
      </c>
      <c r="E22" s="46"/>
      <c r="F22" s="46"/>
      <c r="G22" s="45"/>
    </row>
    <row r="23" spans="1:7" ht="15" customHeight="1">
      <c r="A23" s="50" t="s">
        <v>779</v>
      </c>
      <c r="B23" s="84"/>
      <c r="C23" s="71" t="s">
        <v>817</v>
      </c>
      <c r="D23" s="97" t="str">
        <f t="shared" si="0"/>
        <v/>
      </c>
      <c r="E23" s="46"/>
      <c r="F23" s="46"/>
      <c r="G23" s="45"/>
    </row>
    <row r="24" spans="1:7" ht="15" customHeight="1">
      <c r="A24" s="50" t="s">
        <v>780</v>
      </c>
      <c r="B24" s="84"/>
      <c r="C24" s="71" t="s">
        <v>817</v>
      </c>
      <c r="D24" s="97" t="str">
        <f t="shared" si="0"/>
        <v/>
      </c>
      <c r="E24" s="46"/>
      <c r="F24" s="46"/>
      <c r="G24" s="45"/>
    </row>
    <row r="25" spans="1:7" ht="15" customHeight="1">
      <c r="A25" s="50" t="s">
        <v>781</v>
      </c>
      <c r="B25" s="84"/>
      <c r="C25" s="71" t="s">
        <v>817</v>
      </c>
      <c r="D25" s="97" t="str">
        <f t="shared" si="0"/>
        <v/>
      </c>
      <c r="E25" s="46"/>
      <c r="F25" s="46"/>
      <c r="G25" s="45"/>
    </row>
    <row r="26" spans="1:7" ht="15" customHeight="1">
      <c r="A26" s="50" t="s">
        <v>782</v>
      </c>
      <c r="B26" s="84"/>
      <c r="C26" s="71" t="s">
        <v>817</v>
      </c>
      <c r="D26" s="97" t="str">
        <f t="shared" si="0"/>
        <v/>
      </c>
      <c r="E26" s="46"/>
      <c r="F26" s="46"/>
      <c r="G26" s="45"/>
    </row>
    <row r="27" spans="1:7" ht="15" customHeight="1">
      <c r="A27" s="50" t="s">
        <v>783</v>
      </c>
      <c r="B27" s="84"/>
      <c r="C27" s="71" t="s">
        <v>817</v>
      </c>
      <c r="D27" s="97" t="str">
        <f t="shared" si="0"/>
        <v/>
      </c>
      <c r="E27" s="46"/>
      <c r="F27" s="46"/>
      <c r="G27" s="45"/>
    </row>
    <row r="28" spans="1:7" ht="15" customHeight="1">
      <c r="A28" s="50" t="s">
        <v>784</v>
      </c>
      <c r="B28" s="84"/>
      <c r="C28" s="71" t="s">
        <v>817</v>
      </c>
      <c r="D28" s="97" t="str">
        <f t="shared" si="0"/>
        <v/>
      </c>
      <c r="E28" s="46"/>
      <c r="F28" s="46"/>
      <c r="G28" s="45"/>
    </row>
    <row r="29" spans="1:7" ht="15" customHeight="1">
      <c r="A29" s="50" t="s">
        <v>880</v>
      </c>
      <c r="B29" s="84"/>
      <c r="C29" s="71" t="s">
        <v>817</v>
      </c>
      <c r="D29" s="97" t="str">
        <f t="shared" si="0"/>
        <v/>
      </c>
      <c r="E29" s="46"/>
      <c r="F29" s="46"/>
      <c r="G29" s="45"/>
    </row>
    <row r="30" spans="1:7" ht="15" customHeight="1">
      <c r="A30" s="50" t="s">
        <v>785</v>
      </c>
      <c r="B30" s="84"/>
      <c r="C30" s="71" t="s">
        <v>817</v>
      </c>
      <c r="D30" s="97" t="str">
        <f t="shared" si="0"/>
        <v/>
      </c>
      <c r="E30" s="46"/>
      <c r="F30" s="46"/>
      <c r="G30" s="45"/>
    </row>
    <row r="31" spans="1:7" ht="15" customHeight="1">
      <c r="A31" s="50" t="s">
        <v>786</v>
      </c>
      <c r="B31" s="84"/>
      <c r="C31" s="71" t="s">
        <v>817</v>
      </c>
      <c r="D31" s="97" t="str">
        <f t="shared" si="0"/>
        <v/>
      </c>
      <c r="E31" s="46"/>
      <c r="F31" s="46"/>
      <c r="G31" s="45"/>
    </row>
    <row r="32" spans="1:7" ht="15" customHeight="1">
      <c r="A32" s="87" t="s">
        <v>787</v>
      </c>
      <c r="B32" s="85"/>
      <c r="C32" s="71" t="s">
        <v>817</v>
      </c>
      <c r="D32" s="97" t="str">
        <f t="shared" si="0"/>
        <v/>
      </c>
      <c r="E32" s="46"/>
      <c r="F32" s="46"/>
      <c r="G32" s="45"/>
    </row>
    <row r="33" spans="1:10" ht="15" customHeight="1">
      <c r="A33" s="49" t="s">
        <v>1</v>
      </c>
      <c r="B33" s="88">
        <f>SUM($B$21:$B$32)</f>
        <v>0</v>
      </c>
      <c r="C33" s="71" t="s">
        <v>817</v>
      </c>
      <c r="D33" s="46"/>
      <c r="E33" s="46"/>
      <c r="F33" s="46"/>
      <c r="G33" s="45"/>
    </row>
    <row r="34" spans="1:10" ht="15" customHeight="1">
      <c r="A34" s="46"/>
      <c r="B34" s="46"/>
      <c r="C34" s="46"/>
      <c r="D34" s="46"/>
      <c r="E34" s="46"/>
      <c r="F34" s="46"/>
      <c r="G34" s="45"/>
    </row>
    <row r="35" spans="1:10" ht="15" customHeight="1">
      <c r="A35" s="48" t="s">
        <v>836</v>
      </c>
      <c r="B35" s="48" t="s">
        <v>23</v>
      </c>
      <c r="C35" s="46"/>
      <c r="D35" s="46"/>
      <c r="E35" s="46"/>
      <c r="F35" s="46"/>
      <c r="G35" s="45"/>
    </row>
    <row r="36" spans="1:10" ht="15" customHeight="1">
      <c r="A36" s="46" t="s">
        <v>792</v>
      </c>
      <c r="B36" s="46"/>
      <c r="C36" s="46"/>
      <c r="D36" s="46"/>
      <c r="E36" s="46"/>
      <c r="F36" s="46"/>
      <c r="G36" s="45"/>
    </row>
    <row r="37" spans="1:10" ht="15" customHeight="1">
      <c r="A37" s="291" t="s">
        <v>23</v>
      </c>
      <c r="B37" s="291"/>
      <c r="C37" s="292" t="s">
        <v>893</v>
      </c>
      <c r="D37" s="292"/>
      <c r="E37" s="292"/>
      <c r="F37" s="292"/>
      <c r="G37" s="99"/>
      <c r="H37" s="59" t="str">
        <f>IF(C37="Industrial","I",IF(C37="Utility","U","C"))</f>
        <v>I</v>
      </c>
    </row>
    <row r="39" spans="1:10" ht="15" customHeight="1">
      <c r="A39" s="48" t="s">
        <v>789</v>
      </c>
      <c r="B39" s="48" t="s">
        <v>7</v>
      </c>
      <c r="C39" s="46"/>
      <c r="D39" s="46"/>
      <c r="E39" s="46"/>
      <c r="F39" s="46"/>
      <c r="G39" s="45"/>
    </row>
    <row r="40" spans="1:10" ht="15" customHeight="1">
      <c r="A40" s="283" t="s">
        <v>881</v>
      </c>
      <c r="B40" s="283"/>
      <c r="C40" s="283"/>
      <c r="D40" s="283"/>
      <c r="E40" s="283"/>
      <c r="F40" s="283"/>
      <c r="G40" s="283"/>
    </row>
    <row r="41" spans="1:10" ht="15" customHeight="1">
      <c r="A41" s="283"/>
      <c r="B41" s="283"/>
      <c r="C41" s="283"/>
      <c r="D41" s="283"/>
      <c r="E41" s="283"/>
      <c r="F41" s="283"/>
      <c r="G41" s="283"/>
    </row>
    <row r="42" spans="1:10" ht="15" customHeight="1">
      <c r="A42" s="53" t="s">
        <v>8</v>
      </c>
      <c r="B42" s="286" t="s">
        <v>9</v>
      </c>
      <c r="C42" s="286"/>
      <c r="D42" s="54"/>
      <c r="E42" s="46"/>
      <c r="F42" s="46"/>
      <c r="G42" s="45"/>
      <c r="H42" s="57"/>
    </row>
    <row r="43" spans="1:10" ht="15" customHeight="1">
      <c r="A43" s="53" t="s">
        <v>10</v>
      </c>
      <c r="B43" s="286" t="s">
        <v>22</v>
      </c>
      <c r="C43" s="286"/>
      <c r="D43" s="54"/>
      <c r="E43" s="46"/>
      <c r="F43" s="46"/>
      <c r="G43" s="45"/>
    </row>
    <row r="44" spans="1:10" s="46" customFormat="1" ht="15" customHeight="1">
      <c r="A44" s="55"/>
      <c r="B44" s="55"/>
      <c r="C44" s="56"/>
      <c r="D44" s="56"/>
      <c r="G44" s="45"/>
      <c r="H44" s="57"/>
      <c r="I44" s="45"/>
      <c r="J44" s="45"/>
    </row>
    <row r="45" spans="1:10" ht="15" customHeight="1">
      <c r="A45" s="58" t="s">
        <v>12</v>
      </c>
      <c r="B45" s="89"/>
      <c r="C45" s="90"/>
      <c r="D45" s="278"/>
      <c r="E45" s="46"/>
      <c r="F45" s="46"/>
      <c r="G45" s="45"/>
    </row>
    <row r="46" spans="1:10" ht="15" customHeight="1">
      <c r="A46" s="287" t="s">
        <v>13</v>
      </c>
      <c r="B46" s="288"/>
      <c r="C46" s="289"/>
      <c r="D46" s="165">
        <f>INDEX(C86:G89,MATCH(B43,B86:B89,0),MATCH(B42,C85:G85,0))</f>
        <v>0.11967</v>
      </c>
      <c r="E46" s="46"/>
      <c r="F46" s="46"/>
      <c r="G46" s="45"/>
    </row>
    <row r="47" spans="1:10" ht="15" customHeight="1">
      <c r="A47" s="290" t="s">
        <v>14</v>
      </c>
      <c r="B47" s="290"/>
      <c r="C47" s="290"/>
      <c r="D47" s="166">
        <f>IF(D45="",D46,D45)</f>
        <v>0.11967</v>
      </c>
      <c r="E47" s="46"/>
      <c r="F47" s="46"/>
      <c r="G47" s="45"/>
    </row>
    <row r="48" spans="1:10" ht="15" customHeight="1"/>
    <row r="49" spans="1:9" ht="15" customHeight="1">
      <c r="A49" s="48" t="s">
        <v>790</v>
      </c>
      <c r="B49" s="48" t="s">
        <v>791</v>
      </c>
      <c r="C49" s="46"/>
      <c r="D49" s="46"/>
      <c r="E49" s="46"/>
      <c r="F49" s="46"/>
      <c r="G49" s="45"/>
    </row>
    <row r="50" spans="1:9">
      <c r="A50" s="283" t="s">
        <v>793</v>
      </c>
      <c r="B50" s="283"/>
      <c r="C50" s="283"/>
      <c r="D50" s="283"/>
      <c r="E50" s="283"/>
      <c r="F50" s="283"/>
      <c r="G50" s="283"/>
      <c r="H50" s="283"/>
      <c r="I50" s="283"/>
    </row>
    <row r="51" spans="1:9" ht="16.899999999999999" customHeight="1">
      <c r="A51" s="283" t="s">
        <v>850</v>
      </c>
      <c r="B51" s="283"/>
      <c r="C51" s="283"/>
      <c r="D51" s="283"/>
      <c r="E51" s="283"/>
      <c r="F51" s="283"/>
      <c r="G51" s="283"/>
      <c r="H51" s="283"/>
      <c r="I51" s="177"/>
    </row>
    <row r="52" spans="1:9" ht="14.25">
      <c r="A52" s="60" t="s">
        <v>770</v>
      </c>
      <c r="B52" s="46"/>
      <c r="C52" s="46"/>
      <c r="D52" s="46"/>
      <c r="E52" s="46"/>
      <c r="F52" s="46"/>
      <c r="G52" s="45"/>
    </row>
    <row r="53" spans="1:9" ht="15" customHeight="1">
      <c r="A53" s="281" t="s">
        <v>750</v>
      </c>
      <c r="B53" s="281"/>
      <c r="C53" s="281"/>
      <c r="D53" s="91">
        <f>INDEX(F95:G102,MATCH(A53,B95:B102,0),MATCH(H4,F94:G94,0))</f>
        <v>0</v>
      </c>
      <c r="E53" s="46"/>
      <c r="F53" s="46"/>
      <c r="G53" s="45"/>
    </row>
    <row r="54" spans="1:9" ht="15" customHeight="1">
      <c r="A54" s="282" t="s">
        <v>788</v>
      </c>
      <c r="B54" s="282"/>
      <c r="C54" s="282"/>
      <c r="D54" s="277"/>
      <c r="E54" s="46"/>
      <c r="F54" s="46"/>
      <c r="G54" s="45"/>
    </row>
    <row r="55" spans="1:9" ht="15" customHeight="1">
      <c r="A55" s="46"/>
      <c r="B55" s="46"/>
      <c r="C55" s="46"/>
      <c r="D55" s="91">
        <f>IF(D54="",D53,D54)</f>
        <v>0</v>
      </c>
      <c r="E55" s="46"/>
      <c r="F55" s="46"/>
      <c r="G55" s="45"/>
    </row>
    <row r="56" spans="1:9" ht="15" customHeight="1">
      <c r="A56" s="60" t="s">
        <v>771</v>
      </c>
      <c r="B56" s="46"/>
      <c r="C56" s="46"/>
      <c r="D56" s="92"/>
      <c r="E56" s="46"/>
      <c r="F56" s="46"/>
      <c r="G56" s="45"/>
    </row>
    <row r="57" spans="1:9" ht="15" customHeight="1">
      <c r="A57" s="281" t="s">
        <v>750</v>
      </c>
      <c r="B57" s="281"/>
      <c r="C57" s="281"/>
      <c r="D57" s="91">
        <f>INDEX(F106:G110,MATCH(A57,B106:B110,0),MATCH(H4,F105:G105,0))</f>
        <v>0</v>
      </c>
      <c r="E57" s="46"/>
      <c r="F57" s="46"/>
      <c r="G57" s="45"/>
    </row>
    <row r="58" spans="1:9" ht="15" customHeight="1">
      <c r="A58" s="282" t="s">
        <v>788</v>
      </c>
      <c r="B58" s="282"/>
      <c r="C58" s="282"/>
      <c r="D58" s="279"/>
      <c r="E58" s="46"/>
      <c r="F58" s="46"/>
      <c r="G58" s="45"/>
    </row>
    <row r="59" spans="1:9" ht="15" customHeight="1">
      <c r="A59" s="46"/>
      <c r="B59" s="46"/>
      <c r="C59" s="46"/>
      <c r="D59" s="91">
        <f>IF(D58="",D57,D58)</f>
        <v>0</v>
      </c>
      <c r="E59" s="46"/>
      <c r="F59" s="46"/>
      <c r="G59" s="45"/>
    </row>
    <row r="60" spans="1:9" ht="15" customHeight="1">
      <c r="A60" s="60" t="s">
        <v>762</v>
      </c>
      <c r="B60" s="46"/>
      <c r="C60" s="46"/>
      <c r="D60" s="92"/>
      <c r="E60" s="46"/>
      <c r="F60" s="46"/>
      <c r="G60" s="45"/>
    </row>
    <row r="61" spans="1:9" ht="15" customHeight="1">
      <c r="A61" s="281" t="s">
        <v>750</v>
      </c>
      <c r="B61" s="281"/>
      <c r="C61" s="281"/>
      <c r="D61" s="91">
        <f>INDEX(F114:G115,MATCH(A61,B114:B115,0),MATCH(H4,F113:G113,0))</f>
        <v>0</v>
      </c>
      <c r="E61" s="46"/>
      <c r="F61" s="46"/>
      <c r="G61" s="45"/>
    </row>
    <row r="62" spans="1:9" ht="15" customHeight="1">
      <c r="A62" s="282" t="s">
        <v>788</v>
      </c>
      <c r="B62" s="282"/>
      <c r="C62" s="282"/>
      <c r="D62" s="279"/>
      <c r="E62" s="46"/>
      <c r="F62" s="46"/>
      <c r="G62" s="45"/>
    </row>
    <row r="63" spans="1:9" ht="15" customHeight="1">
      <c r="A63" s="46"/>
      <c r="B63" s="46"/>
      <c r="C63" s="46"/>
      <c r="D63" s="91">
        <f>IF(D62="",D61,D62)</f>
        <v>0</v>
      </c>
      <c r="E63" s="46"/>
      <c r="F63" s="46"/>
      <c r="G63" s="45"/>
    </row>
    <row r="64" spans="1:9" ht="15" customHeight="1">
      <c r="A64" s="60" t="s">
        <v>763</v>
      </c>
      <c r="B64" s="46"/>
      <c r="C64" s="46"/>
      <c r="D64" s="92"/>
      <c r="E64" s="46"/>
      <c r="F64" s="46"/>
      <c r="G64" s="45"/>
    </row>
    <row r="65" spans="1:7" ht="15" customHeight="1">
      <c r="A65" s="281" t="s">
        <v>750</v>
      </c>
      <c r="B65" s="281"/>
      <c r="C65" s="281"/>
      <c r="D65" s="71">
        <f>IF(H4="D",0,E126)</f>
        <v>0</v>
      </c>
      <c r="E65" s="46"/>
      <c r="F65" s="46"/>
      <c r="G65" s="45"/>
    </row>
    <row r="66" spans="1:7" ht="15" customHeight="1">
      <c r="A66" s="282" t="s">
        <v>788</v>
      </c>
      <c r="B66" s="282"/>
      <c r="C66" s="282"/>
      <c r="D66" s="280"/>
      <c r="E66" s="46"/>
      <c r="F66" s="46"/>
      <c r="G66" s="45"/>
    </row>
    <row r="67" spans="1:7" ht="15" customHeight="1">
      <c r="A67" s="46"/>
      <c r="B67" s="46"/>
      <c r="C67" s="46"/>
      <c r="D67" s="71">
        <f>IF(D66="",D65,D66)</f>
        <v>0</v>
      </c>
      <c r="E67" s="46"/>
      <c r="F67" s="46"/>
      <c r="G67" s="45"/>
    </row>
    <row r="68" spans="1:7" ht="15" customHeight="1">
      <c r="A68" s="46"/>
      <c r="B68" s="46"/>
      <c r="C68" s="46"/>
      <c r="D68" s="46"/>
      <c r="E68" s="46"/>
      <c r="F68" s="46"/>
      <c r="G68" s="45"/>
    </row>
    <row r="69" spans="1:7">
      <c r="A69" s="46"/>
      <c r="B69" s="46"/>
      <c r="C69" s="46"/>
      <c r="D69" s="46"/>
    </row>
    <row r="70" spans="1:7">
      <c r="A70" s="46"/>
      <c r="B70" s="46"/>
      <c r="C70" s="46"/>
      <c r="D70" s="46"/>
    </row>
    <row r="71" spans="1:7">
      <c r="A71" s="46"/>
      <c r="B71" s="46"/>
      <c r="C71" s="46"/>
      <c r="D71" s="46"/>
    </row>
    <row r="72" spans="1:7">
      <c r="A72" s="46"/>
      <c r="B72" s="46"/>
      <c r="C72" s="46"/>
      <c r="D72" s="46"/>
    </row>
    <row r="73" spans="1:7">
      <c r="A73" s="46"/>
      <c r="B73" s="46"/>
      <c r="C73" s="46"/>
      <c r="D73" s="46"/>
    </row>
    <row r="74" spans="1:7">
      <c r="A74" s="46"/>
      <c r="B74" s="46"/>
      <c r="C74" s="46"/>
      <c r="D74" s="46"/>
    </row>
    <row r="75" spans="1:7">
      <c r="A75" s="46"/>
      <c r="B75" s="46"/>
      <c r="C75" s="46"/>
      <c r="D75" s="46"/>
    </row>
    <row r="76" spans="1:7">
      <c r="A76" s="46"/>
      <c r="B76" s="46"/>
      <c r="C76" s="46"/>
      <c r="D76" s="46"/>
    </row>
    <row r="77" spans="1:7">
      <c r="A77" s="46"/>
      <c r="B77" s="46"/>
      <c r="C77" s="46"/>
      <c r="D77" s="46"/>
    </row>
    <row r="82" spans="2:7" hidden="1"/>
    <row r="83" spans="2:7" hidden="1">
      <c r="B83" s="300" t="s">
        <v>738</v>
      </c>
      <c r="C83" s="300"/>
      <c r="D83" s="300"/>
      <c r="E83" s="300"/>
      <c r="F83" s="300"/>
      <c r="G83" s="300"/>
    </row>
    <row r="84" spans="2:7" hidden="1">
      <c r="B84" s="307" t="s">
        <v>15</v>
      </c>
      <c r="C84" s="61" t="s">
        <v>16</v>
      </c>
      <c r="D84" s="62"/>
      <c r="E84" s="62"/>
      <c r="F84" s="62"/>
      <c r="G84" s="100"/>
    </row>
    <row r="85" spans="2:7" hidden="1">
      <c r="B85" s="307"/>
      <c r="C85" s="62" t="s">
        <v>9</v>
      </c>
      <c r="D85" s="62" t="s">
        <v>17</v>
      </c>
      <c r="E85" s="62" t="s">
        <v>18</v>
      </c>
      <c r="F85" s="62" t="s">
        <v>19</v>
      </c>
      <c r="G85" s="100" t="s">
        <v>20</v>
      </c>
    </row>
    <row r="86" spans="2:7" hidden="1">
      <c r="B86" s="63" t="s">
        <v>22</v>
      </c>
      <c r="C86" s="62">
        <v>0.11967</v>
      </c>
      <c r="D86" s="62">
        <v>0.13550000000000001</v>
      </c>
      <c r="E86" s="62">
        <v>0.10567</v>
      </c>
      <c r="F86" s="62">
        <v>0.15490000000000001</v>
      </c>
      <c r="G86" s="100">
        <v>0.12055</v>
      </c>
    </row>
    <row r="87" spans="2:7" hidden="1">
      <c r="B87" s="63" t="s">
        <v>714</v>
      </c>
      <c r="C87" s="62">
        <v>1.50614</v>
      </c>
      <c r="D87" s="62">
        <v>1.59612</v>
      </c>
      <c r="E87" s="62">
        <v>1.1122299999999998</v>
      </c>
      <c r="F87" s="62">
        <v>1.8920999999999999</v>
      </c>
      <c r="G87" s="100">
        <v>1.6167899999999999</v>
      </c>
    </row>
    <row r="88" spans="2:7" hidden="1">
      <c r="B88" s="63" t="s">
        <v>11</v>
      </c>
      <c r="C88" s="62">
        <v>4.2999999999999999E-4</v>
      </c>
      <c r="D88" s="62">
        <v>4.8999999999999998E-4</v>
      </c>
      <c r="E88" s="62">
        <v>3.3E-4</v>
      </c>
      <c r="F88" s="62">
        <v>4.4999999999999999E-4</v>
      </c>
      <c r="G88" s="100">
        <v>5.0999999999999993E-4</v>
      </c>
    </row>
    <row r="89" spans="2:7" hidden="1">
      <c r="B89" s="63" t="s">
        <v>21</v>
      </c>
      <c r="C89" s="62">
        <v>2.5389999999999999E-2</v>
      </c>
      <c r="D89" s="62">
        <v>2.7339999999999996E-2</v>
      </c>
      <c r="E89" s="62">
        <v>1.434E-2</v>
      </c>
      <c r="F89" s="62">
        <v>3.209E-2</v>
      </c>
      <c r="G89" s="100">
        <v>2.1730000000000003E-2</v>
      </c>
    </row>
    <row r="90" spans="2:7" hidden="1"/>
    <row r="91" spans="2:7" hidden="1"/>
    <row r="92" spans="2:7" hidden="1">
      <c r="B92" s="300" t="s">
        <v>760</v>
      </c>
      <c r="C92" s="300"/>
      <c r="D92" s="300"/>
      <c r="E92" s="300"/>
      <c r="F92" s="300"/>
      <c r="G92" s="300"/>
    </row>
    <row r="93" spans="2:7" hidden="1">
      <c r="B93" s="298" t="s">
        <v>740</v>
      </c>
      <c r="C93" s="298"/>
      <c r="D93" s="298"/>
      <c r="E93" s="298"/>
      <c r="F93" s="64" t="s">
        <v>756</v>
      </c>
      <c r="G93" s="101"/>
    </row>
    <row r="94" spans="2:7" hidden="1">
      <c r="B94" s="299" t="s">
        <v>758</v>
      </c>
      <c r="C94" s="299"/>
      <c r="D94" s="299"/>
      <c r="E94" s="299"/>
      <c r="F94" s="65" t="s">
        <v>755</v>
      </c>
      <c r="G94" s="51" t="s">
        <v>757</v>
      </c>
    </row>
    <row r="95" spans="2:7" hidden="1">
      <c r="B95" s="67" t="s">
        <v>750</v>
      </c>
      <c r="C95" s="68"/>
      <c r="D95" s="68"/>
      <c r="E95" s="69"/>
      <c r="F95" s="70">
        <v>0</v>
      </c>
      <c r="G95" s="102">
        <v>0</v>
      </c>
    </row>
    <row r="96" spans="2:7" hidden="1">
      <c r="B96" s="67" t="s">
        <v>741</v>
      </c>
      <c r="C96" s="68"/>
      <c r="D96" s="68"/>
      <c r="E96" s="69"/>
      <c r="F96" s="72">
        <f>AVERAGE(0,24)</f>
        <v>12</v>
      </c>
      <c r="G96" s="103">
        <f>AVERAGE(0,28)</f>
        <v>14</v>
      </c>
    </row>
    <row r="97" spans="2:7" hidden="1">
      <c r="B97" s="67" t="s">
        <v>743</v>
      </c>
      <c r="C97" s="68"/>
      <c r="D97" s="68"/>
      <c r="E97" s="69"/>
      <c r="F97" s="72">
        <f>AVERAGE(20,50)</f>
        <v>35</v>
      </c>
      <c r="G97" s="103">
        <f>AVERAGE(20,50)</f>
        <v>35</v>
      </c>
    </row>
    <row r="98" spans="2:7" hidden="1">
      <c r="B98" s="67" t="s">
        <v>742</v>
      </c>
      <c r="C98" s="68"/>
      <c r="D98" s="68"/>
      <c r="E98" s="69"/>
      <c r="F98" s="72">
        <f>AVERAGE(17,44)</f>
        <v>30.5</v>
      </c>
      <c r="G98" s="103">
        <f>AVERAGE(20,50)</f>
        <v>35</v>
      </c>
    </row>
    <row r="99" spans="2:7" hidden="1">
      <c r="B99" s="67" t="s">
        <v>745</v>
      </c>
      <c r="C99" s="68"/>
      <c r="D99" s="68"/>
      <c r="E99" s="69"/>
      <c r="F99" s="73">
        <f>AVERAGE(58,73)</f>
        <v>65.5</v>
      </c>
      <c r="G99" s="103">
        <f>AVERAGE(15,30)</f>
        <v>22.5</v>
      </c>
    </row>
    <row r="100" spans="2:7" hidden="1">
      <c r="B100" s="67" t="s">
        <v>840</v>
      </c>
      <c r="C100" s="68"/>
      <c r="D100" s="68"/>
      <c r="E100" s="69"/>
      <c r="F100" s="73">
        <f>AVERAGE(73,77)</f>
        <v>75</v>
      </c>
      <c r="G100" s="103">
        <f>AVERAGE(25,53)</f>
        <v>39</v>
      </c>
    </row>
    <row r="101" spans="2:7" hidden="1">
      <c r="B101" s="67" t="s">
        <v>744</v>
      </c>
      <c r="C101" s="68"/>
      <c r="D101" s="68"/>
      <c r="E101" s="69"/>
      <c r="F101" s="73">
        <f>AVERAGE(40,70)</f>
        <v>55</v>
      </c>
      <c r="G101" s="103">
        <f>AVERAGE(40,70)</f>
        <v>55</v>
      </c>
    </row>
    <row r="102" spans="2:7" hidden="1">
      <c r="B102" s="74" t="s">
        <v>751</v>
      </c>
      <c r="C102" s="75"/>
      <c r="D102" s="75"/>
      <c r="E102" s="76"/>
      <c r="F102" s="72">
        <v>0</v>
      </c>
      <c r="G102" s="103">
        <f>AVERAGE(41,41)</f>
        <v>41</v>
      </c>
    </row>
    <row r="103" spans="2:7" hidden="1">
      <c r="B103" s="77"/>
      <c r="C103" s="77"/>
      <c r="D103" s="77"/>
      <c r="E103" s="77"/>
      <c r="F103" s="78"/>
      <c r="G103" s="104"/>
    </row>
    <row r="104" spans="2:7" hidden="1">
      <c r="B104" s="298" t="s">
        <v>746</v>
      </c>
      <c r="C104" s="298"/>
      <c r="D104" s="298"/>
      <c r="E104" s="298"/>
      <c r="F104" s="64" t="s">
        <v>756</v>
      </c>
      <c r="G104" s="101"/>
    </row>
    <row r="105" spans="2:7" hidden="1">
      <c r="B105" s="299" t="s">
        <v>758</v>
      </c>
      <c r="C105" s="299"/>
      <c r="D105" s="299"/>
      <c r="E105" s="299"/>
      <c r="F105" s="65" t="s">
        <v>755</v>
      </c>
      <c r="G105" s="51" t="s">
        <v>757</v>
      </c>
    </row>
    <row r="106" spans="2:7" hidden="1">
      <c r="B106" s="74" t="s">
        <v>750</v>
      </c>
      <c r="C106" s="75"/>
      <c r="D106" s="75"/>
      <c r="E106" s="76"/>
      <c r="F106" s="70">
        <v>0</v>
      </c>
      <c r="G106" s="102">
        <v>0</v>
      </c>
    </row>
    <row r="107" spans="2:7" hidden="1">
      <c r="B107" s="74" t="s">
        <v>748</v>
      </c>
      <c r="C107" s="75"/>
      <c r="D107" s="75"/>
      <c r="E107" s="76"/>
      <c r="F107" s="72">
        <f>AVERAGE(70,90)</f>
        <v>80</v>
      </c>
      <c r="G107" s="103">
        <f>AVERAGE(70,90)</f>
        <v>80</v>
      </c>
    </row>
    <row r="108" spans="2:7" hidden="1">
      <c r="B108" s="74" t="s">
        <v>747</v>
      </c>
      <c r="C108" s="75"/>
      <c r="D108" s="75"/>
      <c r="E108" s="76"/>
      <c r="F108" s="72">
        <f>AVERAGE(25,50)</f>
        <v>37.5</v>
      </c>
      <c r="G108" s="103">
        <f>AVERAGE(25,50)</f>
        <v>37.5</v>
      </c>
    </row>
    <row r="109" spans="2:7" hidden="1">
      <c r="B109" s="74" t="s">
        <v>749</v>
      </c>
      <c r="C109" s="75"/>
      <c r="D109" s="75"/>
      <c r="E109" s="76"/>
      <c r="F109" s="79">
        <f>AVERAGE(90,96)</f>
        <v>93</v>
      </c>
      <c r="G109" s="103">
        <f>AVERAGE(90,96)</f>
        <v>93</v>
      </c>
    </row>
    <row r="110" spans="2:7" hidden="1">
      <c r="B110" s="80" t="s">
        <v>761</v>
      </c>
      <c r="C110" s="80"/>
      <c r="D110" s="80"/>
      <c r="E110" s="80"/>
      <c r="F110" s="72">
        <f>AVERAGE(80,98)</f>
        <v>89</v>
      </c>
      <c r="G110" s="103">
        <f>AVERAGE(80,98)</f>
        <v>89</v>
      </c>
    </row>
    <row r="111" spans="2:7" hidden="1"/>
    <row r="112" spans="2:7" hidden="1">
      <c r="B112" s="298" t="s">
        <v>54</v>
      </c>
      <c r="C112" s="298"/>
      <c r="D112" s="298"/>
      <c r="E112" s="298"/>
      <c r="F112" s="64" t="s">
        <v>756</v>
      </c>
      <c r="G112" s="101"/>
    </row>
    <row r="113" spans="2:7" hidden="1">
      <c r="B113" s="299" t="s">
        <v>758</v>
      </c>
      <c r="C113" s="299"/>
      <c r="D113" s="299"/>
      <c r="E113" s="299"/>
      <c r="F113" s="66" t="s">
        <v>755</v>
      </c>
      <c r="G113" s="51" t="s">
        <v>757</v>
      </c>
    </row>
    <row r="114" spans="2:7" hidden="1">
      <c r="B114" s="74" t="s">
        <v>750</v>
      </c>
      <c r="C114" s="75"/>
      <c r="D114" s="75"/>
      <c r="E114" s="76"/>
      <c r="F114" s="70">
        <v>0</v>
      </c>
      <c r="G114" s="102">
        <v>0</v>
      </c>
    </row>
    <row r="115" spans="2:7" hidden="1">
      <c r="B115" s="74" t="s">
        <v>751</v>
      </c>
      <c r="C115" s="75"/>
      <c r="D115" s="75"/>
      <c r="E115" s="76"/>
      <c r="F115" s="70">
        <v>0</v>
      </c>
      <c r="G115" s="102">
        <v>33</v>
      </c>
    </row>
    <row r="116" spans="2:7" hidden="1">
      <c r="B116" s="77"/>
      <c r="C116" s="77"/>
      <c r="D116" s="77"/>
      <c r="E116" s="77"/>
      <c r="G116" s="45"/>
    </row>
    <row r="117" spans="2:7" hidden="1">
      <c r="B117" s="77"/>
      <c r="C117" s="77"/>
      <c r="D117" s="77"/>
      <c r="E117" s="77"/>
      <c r="G117" s="45"/>
    </row>
    <row r="118" spans="2:7" hidden="1">
      <c r="B118" s="304" t="s">
        <v>754</v>
      </c>
      <c r="C118" s="305"/>
      <c r="D118" s="306"/>
      <c r="E118" s="302" t="s">
        <v>764</v>
      </c>
      <c r="F118" s="303"/>
      <c r="G118" s="303"/>
    </row>
    <row r="119" spans="2:7" hidden="1">
      <c r="B119" s="295" t="s">
        <v>758</v>
      </c>
      <c r="C119" s="296"/>
      <c r="D119" s="297"/>
      <c r="E119" s="66" t="s">
        <v>719</v>
      </c>
      <c r="F119" s="66" t="s">
        <v>720</v>
      </c>
      <c r="G119" s="51" t="s">
        <v>721</v>
      </c>
    </row>
    <row r="120" spans="2:7" hidden="1">
      <c r="B120" s="74" t="s">
        <v>750</v>
      </c>
      <c r="C120" s="75"/>
      <c r="D120" s="75"/>
      <c r="E120" s="71">
        <v>0</v>
      </c>
      <c r="F120" s="71">
        <v>0</v>
      </c>
      <c r="G120" s="105">
        <v>0</v>
      </c>
    </row>
    <row r="121" spans="2:7" hidden="1">
      <c r="B121" s="74" t="s">
        <v>753</v>
      </c>
      <c r="C121" s="75"/>
      <c r="D121" s="75"/>
      <c r="E121" s="71">
        <v>0</v>
      </c>
      <c r="F121" s="71">
        <v>0</v>
      </c>
      <c r="G121" s="105">
        <v>94</v>
      </c>
    </row>
    <row r="122" spans="2:7" hidden="1">
      <c r="B122" s="74" t="s">
        <v>759</v>
      </c>
      <c r="C122" s="75"/>
      <c r="D122" s="75"/>
      <c r="E122" s="71">
        <v>80</v>
      </c>
      <c r="F122" s="71">
        <v>0</v>
      </c>
      <c r="G122" s="105">
        <v>0</v>
      </c>
    </row>
    <row r="123" spans="2:7" hidden="1">
      <c r="B123" s="74" t="s">
        <v>751</v>
      </c>
      <c r="C123" s="75"/>
      <c r="D123" s="75"/>
      <c r="E123" s="71">
        <v>45</v>
      </c>
      <c r="F123" s="71">
        <v>45</v>
      </c>
      <c r="G123" s="105">
        <v>45</v>
      </c>
    </row>
    <row r="124" spans="2:7" hidden="1">
      <c r="B124" s="74" t="s">
        <v>752</v>
      </c>
      <c r="C124" s="75"/>
      <c r="D124" s="75"/>
      <c r="E124" s="71">
        <v>0</v>
      </c>
      <c r="F124" s="71">
        <v>0</v>
      </c>
      <c r="G124" s="102">
        <v>99.2</v>
      </c>
    </row>
    <row r="125" spans="2:7" hidden="1"/>
    <row r="126" spans="2:7" hidden="1">
      <c r="B126" s="81" t="s">
        <v>765</v>
      </c>
      <c r="C126" s="81"/>
      <c r="D126" s="81"/>
      <c r="E126" s="82">
        <f>INDEX(E120:G124,MATCH(A65,B120:B124,0),MATCH(H37,E119:G119,0))</f>
        <v>0</v>
      </c>
    </row>
  </sheetData>
  <sheetProtection algorithmName="SHA-512" hashValue="xMyXcJ1DGzCvBdnAMqJwVo8i5RpR8gMbcamP8KrsZeF/cjJobiYcPv3jzYLmz16Lj3Oqn3SpiY4ZgJEbxSnEoQ==" saltValue="g80XH/eY8tj5kiNGF/Mk9g==" spinCount="100000" sheet="1" objects="1" scenarios="1" selectLockedCells="1"/>
  <mergeCells count="39">
    <mergeCell ref="B92:G92"/>
    <mergeCell ref="B94:E94"/>
    <mergeCell ref="B105:E105"/>
    <mergeCell ref="A10:F11"/>
    <mergeCell ref="E118:G118"/>
    <mergeCell ref="B118:D118"/>
    <mergeCell ref="B84:B85"/>
    <mergeCell ref="A37:B37"/>
    <mergeCell ref="C37:F37"/>
    <mergeCell ref="B83:G83"/>
    <mergeCell ref="A53:C53"/>
    <mergeCell ref="A54:C54"/>
    <mergeCell ref="A57:C57"/>
    <mergeCell ref="A58:C58"/>
    <mergeCell ref="A61:C61"/>
    <mergeCell ref="A62:C62"/>
    <mergeCell ref="B119:D119"/>
    <mergeCell ref="B93:E93"/>
    <mergeCell ref="B104:E104"/>
    <mergeCell ref="B112:E112"/>
    <mergeCell ref="B113:E113"/>
    <mergeCell ref="A4:B4"/>
    <mergeCell ref="C4:F4"/>
    <mergeCell ref="A5:C6"/>
    <mergeCell ref="A7:B7"/>
    <mergeCell ref="C7:F7"/>
    <mergeCell ref="A65:C65"/>
    <mergeCell ref="A66:C66"/>
    <mergeCell ref="A50:I50"/>
    <mergeCell ref="A40:G41"/>
    <mergeCell ref="A13:B13"/>
    <mergeCell ref="A14:B14"/>
    <mergeCell ref="A15:B15"/>
    <mergeCell ref="A16:B16"/>
    <mergeCell ref="B42:C42"/>
    <mergeCell ref="B43:C43"/>
    <mergeCell ref="A46:C46"/>
    <mergeCell ref="A47:C47"/>
    <mergeCell ref="A51:H51"/>
  </mergeCells>
  <conditionalFormatting sqref="A5:F7">
    <cfRule type="expression" dxfId="6" priority="2">
      <formula>$H$4="D"</formula>
    </cfRule>
  </conditionalFormatting>
  <conditionalFormatting sqref="A9:F16">
    <cfRule type="expression" dxfId="5" priority="1">
      <formula>$H$4="R"</formula>
    </cfRule>
  </conditionalFormatting>
  <dataValidations count="11">
    <dataValidation allowBlank="1" showInputMessage="1" showErrorMessage="1" sqref="A42"/>
    <dataValidation type="list" allowBlank="1" showInputMessage="1" showErrorMessage="1" sqref="B42">
      <formula1>$C$85:$G$85</formula1>
    </dataValidation>
    <dataValidation type="list" allowBlank="1" showInputMessage="1" showErrorMessage="1" sqref="B43">
      <formula1>$B$86:$B$89</formula1>
    </dataValidation>
    <dataValidation type="list" allowBlank="1" showInputMessage="1" showErrorMessage="1" sqref="C44">
      <formula1>#REF!</formula1>
    </dataValidation>
    <dataValidation type="list" allowBlank="1" showInputMessage="1" showErrorMessage="1" sqref="C37:F37">
      <formula1>"Industrial,Commercial/Institutional/Residential,Utility"</formula1>
    </dataValidation>
    <dataValidation type="list" allowBlank="1" showInputMessage="1" showErrorMessage="1" sqref="C4:F4">
      <formula1>"Distillate,Residual"</formula1>
    </dataValidation>
    <dataValidation type="list" allowBlank="1" showInputMessage="1" showErrorMessage="1" sqref="C7:F7">
      <formula1>"No.6 Oil,No.5 Oil,No.4 Oil"</formula1>
    </dataValidation>
    <dataValidation type="list" allowBlank="1" showInputMessage="1" showErrorMessage="1" sqref="A53:C53">
      <formula1>$B$95:$B$102</formula1>
    </dataValidation>
    <dataValidation type="list" allowBlank="1" showInputMessage="1" showErrorMessage="1" sqref="A57:C57">
      <formula1>$B$106:$B$110</formula1>
    </dataValidation>
    <dataValidation type="list" allowBlank="1" showInputMessage="1" showErrorMessage="1" sqref="A61:C61">
      <formula1>$B$114:$B$115</formula1>
    </dataValidation>
    <dataValidation type="list" allowBlank="1" showInputMessage="1" showErrorMessage="1" sqref="A65:C65">
      <formula1>$B$120:$B$124</formula1>
    </dataValidation>
  </dataValidations>
  <pageMargins left="0.70866141732283472" right="0.70866141732283472" top="0.74803149606299213" bottom="0.74803149606299213" header="0.31496062992125984" footer="0.31496062992125984"/>
  <pageSetup scale="80" orientation="portrait" r:id="rId1"/>
  <rowBreaks count="1" manualBreakCount="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3"/>
  <sheetViews>
    <sheetView zoomScale="115" zoomScaleNormal="115" workbookViewId="0">
      <selection activeCell="J1" sqref="J1"/>
    </sheetView>
  </sheetViews>
  <sheetFormatPr defaultColWidth="9.5703125" defaultRowHeight="12.75"/>
  <cols>
    <col min="1" max="1" width="55" style="106" customWidth="1"/>
    <col min="2" max="2" width="13" style="106" customWidth="1"/>
    <col min="3" max="3" width="18.7109375" style="106" customWidth="1"/>
    <col min="4" max="4" width="9.7109375" style="106" customWidth="1"/>
    <col min="5" max="5" width="18.5703125" style="106" bestFit="1" customWidth="1"/>
    <col min="6" max="6" width="26.28515625" style="106" customWidth="1"/>
    <col min="7" max="7" width="19.85546875" style="106" customWidth="1"/>
    <col min="8" max="8" width="8.7109375" style="106" customWidth="1"/>
    <col min="9" max="10" width="9.5703125" style="106"/>
    <col min="11" max="11" width="10" style="106" bestFit="1" customWidth="1"/>
    <col min="12" max="16384" width="9.5703125" style="106"/>
  </cols>
  <sheetData>
    <row r="1" spans="1:11" ht="15" customHeight="1">
      <c r="A1" s="148" t="s">
        <v>801</v>
      </c>
      <c r="H1" s="112"/>
    </row>
    <row r="2" spans="1:11">
      <c r="H2" s="112"/>
    </row>
    <row r="3" spans="1:11" ht="15" customHeight="1">
      <c r="A3" s="151" t="s">
        <v>802</v>
      </c>
      <c r="B3" s="114" t="s">
        <v>803</v>
      </c>
      <c r="C3" s="114" t="s">
        <v>882</v>
      </c>
      <c r="D3" s="114" t="s">
        <v>883</v>
      </c>
      <c r="E3" s="114" t="s">
        <v>804</v>
      </c>
      <c r="F3" s="114" t="s">
        <v>805</v>
      </c>
      <c r="G3" s="114" t="s">
        <v>813</v>
      </c>
      <c r="H3" s="114" t="s">
        <v>806</v>
      </c>
    </row>
    <row r="4" spans="1:11" ht="15" customHeight="1">
      <c r="A4" s="109" t="s">
        <v>72</v>
      </c>
      <c r="B4" s="108" t="s">
        <v>73</v>
      </c>
      <c r="C4" s="115">
        <f>IF('Input Information'!$H$4="R", VLOOKUP(B4,'RESIDUAL MASTER SHEET'!$C$6:$H$45,3,FALSE),IF('Input Information'!$H$4="D",IFERROR(VLOOKUP(B4,'DISTILLATE MASTER SHEET'!$C$6:$H$49,3,FALSE),"For Residual Oil only")))</f>
        <v>7.6209683301430652E-6</v>
      </c>
      <c r="D4" s="123" t="s">
        <v>825</v>
      </c>
      <c r="E4" s="115" t="str">
        <f>IF('Input Information'!$H$4="R", VLOOKUP(B4,'RESIDUAL MASTER SHEET'!$C$6:$H$45,4,FALSE),IF('Input Information'!$H$4="D",IFERROR(VLOOKUP(B4,'DISTILLATE MASTER SHEET'!$C$6:$H$49,4,FALSE),"For Residual Oil only")))</f>
        <v>E</v>
      </c>
      <c r="F4" s="117">
        <f>'Input Information'!$B$33</f>
        <v>0</v>
      </c>
      <c r="G4" s="118">
        <f>IF('Input Information'!$H$4="R", VLOOKUP(B4,'RESIDUAL MASTER SHEET'!$C$6:$H$45,6,FALSE)/1000,IF('Input Information'!$H$4="D",IFERROR(VLOOKUP(B4,'DISTILLATE MASTER SHEET'!$C$6:$H$49,6,FALSE)/1000,"For Residual Oil only")))</f>
        <v>0</v>
      </c>
      <c r="H4" s="116" t="s">
        <v>827</v>
      </c>
      <c r="K4" s="122"/>
    </row>
    <row r="5" spans="1:11" ht="15" customHeight="1">
      <c r="A5" s="109" t="s">
        <v>84</v>
      </c>
      <c r="B5" s="108" t="s">
        <v>85</v>
      </c>
      <c r="C5" s="115">
        <f>IF('Input Information'!$H$4="R", VLOOKUP(B5,'RESIDUAL MASTER SHEET'!$C$6:$H$45,3,FALSE),IF('Input Information'!$H$4="D",IFERROR(VLOOKUP(B5,'DISTILLATE MASTER SHEET'!$C$6:$H$49,3,FALSE),"For Residual Oil only")))</f>
        <v>7.4292458564287735E-4</v>
      </c>
      <c r="D5" s="123" t="s">
        <v>825</v>
      </c>
      <c r="E5" s="115" t="str">
        <f>IF('Input Information'!$H$4="R", VLOOKUP(B5,'RESIDUAL MASTER SHEET'!$C$6:$H$45,4,FALSE),IF('Input Information'!$H$4="D",IFERROR(VLOOKUP(B5,'DISTILLATE MASTER SHEET'!$C$6:$H$49,4,FALSE),"For Residual Oil only")))</f>
        <v>D</v>
      </c>
      <c r="F5" s="117">
        <f>'Input Information'!$B$33</f>
        <v>0</v>
      </c>
      <c r="G5" s="118">
        <f>IF('Input Information'!$H$4="R", VLOOKUP(B5,'RESIDUAL MASTER SHEET'!$C$6:$H$45,6,FALSE)/1000,IF('Input Information'!$H$4="D",IFERROR(VLOOKUP(B5,'DISTILLATE MASTER SHEET'!$C$6:$H$49,6,FALSE)/1000,"For Residual Oil only")))</f>
        <v>0</v>
      </c>
      <c r="H5" s="116" t="s">
        <v>827</v>
      </c>
    </row>
    <row r="6" spans="1:11" ht="15" customHeight="1">
      <c r="A6" s="109" t="s">
        <v>475</v>
      </c>
      <c r="B6" s="108" t="s">
        <v>86</v>
      </c>
      <c r="C6" s="115">
        <f>IF('Input Information'!$H$4="R", VLOOKUP(B6,'RESIDUAL MASTER SHEET'!$C$6:$H$45,3,FALSE),IF('Input Information'!$H$4="D",IFERROR(VLOOKUP(B6,'DISTILLATE MASTER SHEET'!$C$6:$H$49,3,FALSE),"For Residual Oil only")))</f>
        <v>1.3061093521786072E-5</v>
      </c>
      <c r="D6" s="123" t="s">
        <v>826</v>
      </c>
      <c r="E6" s="115" t="str">
        <f>IF('Input Information'!$H$4="R", VLOOKUP(B6,'RESIDUAL MASTER SHEET'!$C$6:$H$45,4,FALSE),IF('Input Information'!$H$4="D",IFERROR(VLOOKUP(B6,'DISTILLATE MASTER SHEET'!$C$6:$H$49,4,FALSE),"For Residual Oil only")))</f>
        <v>E</v>
      </c>
      <c r="F6" s="117">
        <f>'Input Information'!$B$33</f>
        <v>0</v>
      </c>
      <c r="G6" s="118">
        <f>IF('Input Information'!$H$4="R", VLOOKUP(B6,'RESIDUAL MASTER SHEET'!$C$6:$H$45,6,FALSE)/1000,IF('Input Information'!$H$4="D",IFERROR(VLOOKUP(B6,'DISTILLATE MASTER SHEET'!$C$6:$H$49,6,FALSE)/1000,"For Residual Oil only")))</f>
        <v>0</v>
      </c>
      <c r="H6" s="116" t="s">
        <v>827</v>
      </c>
    </row>
    <row r="7" spans="1:11" ht="15" customHeight="1">
      <c r="A7" s="109" t="s">
        <v>31</v>
      </c>
      <c r="B7" s="108" t="s">
        <v>32</v>
      </c>
      <c r="C7" s="115">
        <f>IF('Input Information'!$H$4="R", VLOOKUP(B7,'RESIDUAL MASTER SHEET'!$C$6:$H$45,3,FALSE),IF('Input Information'!$H$4="D",IFERROR(VLOOKUP(B7,'DISTILLATE MASTER SHEET'!$C$6:$H$49,3,FALSE),"For Residual Oil only")))</f>
        <v>5.7516742114287287E-3</v>
      </c>
      <c r="D7" s="123" t="s">
        <v>826</v>
      </c>
      <c r="E7" s="115" t="str">
        <f>IF('Input Information'!$H$4="R", VLOOKUP(B7,'RESIDUAL MASTER SHEET'!$C$6:$H$45,4,FALSE),IF('Input Information'!$H$4="D",IFERROR(VLOOKUP(B7,'DISTILLATE MASTER SHEET'!$C$6:$H$49,4,FALSE),"For Residual Oil only")))</f>
        <v>E</v>
      </c>
      <c r="F7" s="117">
        <f>'Input Information'!$B$33</f>
        <v>0</v>
      </c>
      <c r="G7" s="118">
        <f>IF('Input Information'!$H$4="R", VLOOKUP(B7,'RESIDUAL MASTER SHEET'!$C$6:$H$45,6,FALSE)/1000,IF('Input Information'!$H$4="D",IFERROR(VLOOKUP(B7,'DISTILLATE MASTER SHEET'!$C$6:$H$49,6,FALSE)/1000,"For Residual Oil only")))</f>
        <v>0</v>
      </c>
      <c r="H7" s="116" t="s">
        <v>827</v>
      </c>
    </row>
    <row r="8" spans="1:11" ht="15" customHeight="1">
      <c r="A8" s="109" t="s">
        <v>28</v>
      </c>
      <c r="B8" s="108" t="s">
        <v>29</v>
      </c>
      <c r="C8" s="115">
        <f>IF('Input Information'!$H$4="R", VLOOKUP(B8,'RESIDUAL MASTER SHEET'!$C$6:$H$45,3,FALSE),IF('Input Information'!$H$4="D",IFERROR(VLOOKUP(B8,'DISTILLATE MASTER SHEET'!$C$6:$H$49,3,FALSE),"For Residual Oil only")))</f>
        <v>2.5642880859286414E-5</v>
      </c>
      <c r="D8" s="123" t="s">
        <v>826</v>
      </c>
      <c r="E8" s="115" t="str">
        <f>IF('Input Information'!$H$4="R", VLOOKUP(B8,'RESIDUAL MASTER SHEET'!$C$6:$H$45,4,FALSE),IF('Input Information'!$H$4="D",IFERROR(VLOOKUP(B8,'DISTILLATE MASTER SHEET'!$C$6:$H$49,4,FALSE),"For Residual Oil only")))</f>
        <v>C</v>
      </c>
      <c r="F8" s="117">
        <f>'Input Information'!$B$33</f>
        <v>0</v>
      </c>
      <c r="G8" s="118">
        <f>IF('Input Information'!$H$4="R", VLOOKUP(B8,'RESIDUAL MASTER SHEET'!$C$6:$H$45,6,FALSE)/1000,IF('Input Information'!$H$4="D",IFERROR(VLOOKUP(B8,'DISTILLATE MASTER SHEET'!$C$6:$H$49,6,FALSE)/1000,"For Residual Oil only")))</f>
        <v>0</v>
      </c>
      <c r="H8" s="116" t="s">
        <v>827</v>
      </c>
    </row>
    <row r="9" spans="1:11" ht="15" customHeight="1">
      <c r="A9" s="109" t="s">
        <v>35</v>
      </c>
      <c r="B9" s="108" t="s">
        <v>36</v>
      </c>
      <c r="C9" s="115">
        <f>IF('Input Information'!$H$4="R", VLOOKUP(B9,'RESIDUAL MASTER SHEET'!$C$6:$H$45,3,FALSE),IF('Input Information'!$H$4="D",IFERROR(VLOOKUP(B9,'DISTILLATE MASTER SHEET'!$C$6:$H$49,3,FALSE),"For Residual Oil only")))</f>
        <v>1.3540399706071796E-4</v>
      </c>
      <c r="D9" s="123" t="s">
        <v>826</v>
      </c>
      <c r="E9" s="115" t="str">
        <f>IF('Input Information'!$H$4="R", VLOOKUP(B9,'RESIDUAL MASTER SHEET'!$C$6:$H$45,4,FALSE),IF('Input Information'!$H$4="D",IFERROR(VLOOKUP(B9,'DISTILLATE MASTER SHEET'!$C$6:$H$49,4,FALSE),"For Residual Oil only")))</f>
        <v>C</v>
      </c>
      <c r="F9" s="117">
        <f>'Input Information'!$B$33</f>
        <v>0</v>
      </c>
      <c r="G9" s="118">
        <f>IF('Input Information'!$H$4="R", VLOOKUP(B9,'RESIDUAL MASTER SHEET'!$C$6:$H$45,6,FALSE)/1000,IF('Input Information'!$H$4="D",IFERROR(VLOOKUP(B9,'DISTILLATE MASTER SHEET'!$C$6:$H$49,6,FALSE)/1000,"For Residual Oil only")))</f>
        <v>0</v>
      </c>
      <c r="H9" s="116" t="s">
        <v>827</v>
      </c>
    </row>
    <row r="10" spans="1:11" ht="15" customHeight="1">
      <c r="A10" s="107" t="s">
        <v>130</v>
      </c>
      <c r="B10" s="108" t="s">
        <v>129</v>
      </c>
      <c r="C10" s="115" t="str">
        <f>IF('Input Information'!$H$4="R", VLOOKUP(B10,'RESIDUAL MASTER SHEET'!$C$6:$H$45,3,FALSE),IF('Input Information'!$H$4="D",IFERROR(VLOOKUP(B10,'DISTILLATE MASTER SHEET'!$C$6:$H$49,3,FALSE),"For Residual Oil only")))</f>
        <v>For Residual Oil only</v>
      </c>
      <c r="D10" s="123" t="s">
        <v>826</v>
      </c>
      <c r="E10" s="115" t="str">
        <f>IF('Input Information'!$H$4="R", VLOOKUP(B10,'RESIDUAL MASTER SHEET'!$C$6:$H$45,4,FALSE),IF('Input Information'!$H$4="D",IFERROR(VLOOKUP(B10,'DISTILLATE MASTER SHEET'!$C$6:$H$49,4,FALSE),"For Residual Oil only")))</f>
        <v>For Residual Oil only</v>
      </c>
      <c r="F10" s="117">
        <f>'Input Information'!$B$33</f>
        <v>0</v>
      </c>
      <c r="G10" s="118" t="str">
        <f>IF('Input Information'!$H$4="R", VLOOKUP(B10,'RESIDUAL MASTER SHEET'!$C$6:$H$45,6,FALSE)/1000,IF('Input Information'!$H$4="D",IFERROR(VLOOKUP(B10,'DISTILLATE MASTER SHEET'!$C$6:$H$49,6,FALSE)/1000,"For Residual Oil only")))</f>
        <v>For Residual Oil only</v>
      </c>
      <c r="H10" s="116" t="s">
        <v>827</v>
      </c>
    </row>
    <row r="11" spans="1:11" ht="15" customHeight="1">
      <c r="A11" s="107" t="s">
        <v>88</v>
      </c>
      <c r="B11" s="108" t="s">
        <v>30</v>
      </c>
      <c r="C11" s="115">
        <f>IF('Input Information'!$H$4="R", VLOOKUP(B11,'RESIDUAL MASTER SHEET'!$C$6:$H$45,3,FALSE),IF('Input Information'!$H$4="D",IFERROR(VLOOKUP(B11,'DISTILLATE MASTER SHEET'!$C$6:$H$49,3,FALSE),"For Residual Oil only")))</f>
        <v>5.030080791990016E-5</v>
      </c>
      <c r="D11" s="123" t="s">
        <v>826</v>
      </c>
      <c r="E11" s="115" t="str">
        <f>IF('Input Information'!$H$4="R", VLOOKUP(B11,'RESIDUAL MASTER SHEET'!$C$6:$H$45,4,FALSE),IF('Input Information'!$H$4="D",IFERROR(VLOOKUP(B11,'DISTILLATE MASTER SHEET'!$C$6:$H$49,4,FALSE),"For Residual Oil only")))</f>
        <v>E</v>
      </c>
      <c r="F11" s="117">
        <f>'Input Information'!$B$33</f>
        <v>0</v>
      </c>
      <c r="G11" s="118">
        <f>IF('Input Information'!$H$4="R", VLOOKUP(B11,'RESIDUAL MASTER SHEET'!$C$6:$H$45,6,FALSE)/1000,IF('Input Information'!$H$4="D",IFERROR(VLOOKUP(B11,'DISTILLATE MASTER SHEET'!$C$6:$H$49,6,FALSE)/1000,"For Residual Oil only")))</f>
        <v>0</v>
      </c>
      <c r="H11" s="116" t="s">
        <v>827</v>
      </c>
    </row>
    <row r="12" spans="1:11" ht="15" customHeight="1">
      <c r="A12" s="107" t="s">
        <v>89</v>
      </c>
      <c r="B12" s="108" t="s">
        <v>90</v>
      </c>
      <c r="C12" s="115">
        <f>IF('Input Information'!$H$4="R", VLOOKUP(B12,'RESIDUAL MASTER SHEET'!$C$6:$H$45,3,FALSE),IF('Input Information'!$H$4="D",IFERROR(VLOOKUP(B12,'DISTILLATE MASTER SHEET'!$C$6:$H$49,3,FALSE),"For Residual Oil only")))</f>
        <v>1.0060161583980032E-4</v>
      </c>
      <c r="D12" s="123" t="s">
        <v>826</v>
      </c>
      <c r="E12" s="115" t="str">
        <f>IF('Input Information'!$H$4="R", VLOOKUP(B12,'RESIDUAL MASTER SHEET'!$C$6:$H$45,4,FALSE),IF('Input Information'!$H$4="D",IFERROR(VLOOKUP(B12,'DISTILLATE MASTER SHEET'!$C$6:$H$49,4,FALSE),"For Residual Oil only")))</f>
        <v>E</v>
      </c>
      <c r="F12" s="117">
        <f>'Input Information'!$B$33</f>
        <v>0</v>
      </c>
      <c r="G12" s="118">
        <f>IF('Input Information'!$H$4="R", VLOOKUP(B12,'RESIDUAL MASTER SHEET'!$C$6:$H$45,6,FALSE)/1000,IF('Input Information'!$H$4="D",IFERROR(VLOOKUP(B12,'DISTILLATE MASTER SHEET'!$C$6:$H$49,6,FALSE)/1000,"For Residual Oil only")))</f>
        <v>0</v>
      </c>
      <c r="H12" s="116" t="s">
        <v>827</v>
      </c>
    </row>
    <row r="13" spans="1:11" ht="15" customHeight="1">
      <c r="A13" s="107" t="s">
        <v>33</v>
      </c>
      <c r="B13" s="108" t="s">
        <v>34</v>
      </c>
      <c r="C13" s="115">
        <f>IF('Input Information'!$H$4="R", VLOOKUP(B13,'RESIDUAL MASTER SHEET'!$C$6:$H$45,3,FALSE),IF('Input Information'!$H$4="D",IFERROR(VLOOKUP(B13,'DISTILLATE MASTER SHEET'!$C$6:$H$49,3,FALSE),"For Residual Oil only")))</f>
        <v>1.0060161583980032E-4</v>
      </c>
      <c r="D13" s="123" t="s">
        <v>826</v>
      </c>
      <c r="E13" s="115" t="str">
        <f>IF('Input Information'!$H$4="R", VLOOKUP(B13,'RESIDUAL MASTER SHEET'!$C$6:$H$45,4,FALSE),IF('Input Information'!$H$4="D",IFERROR(VLOOKUP(B13,'DISTILLATE MASTER SHEET'!$C$6:$H$49,4,FALSE),"For Residual Oil only")))</f>
        <v>E</v>
      </c>
      <c r="F13" s="117">
        <f>'Input Information'!$B$33</f>
        <v>0</v>
      </c>
      <c r="G13" s="118">
        <f>IF('Input Information'!$H$4="R", VLOOKUP(B13,'RESIDUAL MASTER SHEET'!$C$6:$H$45,6,FALSE)/1000,IF('Input Information'!$H$4="D",IFERROR(VLOOKUP(B13,'DISTILLATE MASTER SHEET'!$C$6:$H$49,6,FALSE)/1000,"For Residual Oil only")))</f>
        <v>0</v>
      </c>
      <c r="H13" s="116" t="s">
        <v>827</v>
      </c>
    </row>
    <row r="14" spans="1:11" ht="15" customHeight="1">
      <c r="A14" s="107" t="s">
        <v>37</v>
      </c>
      <c r="B14" s="108" t="s">
        <v>38</v>
      </c>
      <c r="C14" s="115">
        <f>IF('Input Information'!$H$4="R", VLOOKUP(B14,'RESIDUAL MASTER SHEET'!$C$6:$H$45,3,FALSE),IF('Input Information'!$H$4="D",IFERROR(VLOOKUP(B14,'DISTILLATE MASTER SHEET'!$C$6:$H$49,3,FALSE),"For Residual Oil only")))</f>
        <v>5.030080791990016E-5</v>
      </c>
      <c r="D14" s="123" t="s">
        <v>826</v>
      </c>
      <c r="E14" s="115" t="str">
        <f>IF('Input Information'!$H$4="R", VLOOKUP(B14,'RESIDUAL MASTER SHEET'!$C$6:$H$45,4,FALSE),IF('Input Information'!$H$4="D",IFERROR(VLOOKUP(B14,'DISTILLATE MASTER SHEET'!$C$6:$H$49,4,FALSE),"For Residual Oil only")))</f>
        <v>E</v>
      </c>
      <c r="F14" s="117">
        <f>'Input Information'!$B$33</f>
        <v>0</v>
      </c>
      <c r="G14" s="118">
        <f>IF('Input Information'!$H$4="R", VLOOKUP(B14,'RESIDUAL MASTER SHEET'!$C$6:$H$45,6,FALSE)/1000,IF('Input Information'!$H$4="D",IFERROR(VLOOKUP(B14,'DISTILLATE MASTER SHEET'!$C$6:$H$49,6,FALSE)/1000,"For Residual Oil only")))</f>
        <v>0</v>
      </c>
      <c r="H14" s="116" t="s">
        <v>827</v>
      </c>
    </row>
    <row r="15" spans="1:11" ht="15" customHeight="1">
      <c r="A15" s="107" t="s">
        <v>91</v>
      </c>
      <c r="B15" s="108" t="s">
        <v>92</v>
      </c>
      <c r="C15" s="115">
        <f>IF('Input Information'!$H$4="R", VLOOKUP(B15,'RESIDUAL MASTER SHEET'!$C$6:$H$45,3,FALSE),IF('Input Information'!$H$4="D",IFERROR(VLOOKUP(B15,'DISTILLATE MASTER SHEET'!$C$6:$H$49,3,FALSE),"For Residual Oil only")))</f>
        <v>6.7067743893200199E-5</v>
      </c>
      <c r="D15" s="123" t="s">
        <v>826</v>
      </c>
      <c r="E15" s="115" t="str">
        <f>IF('Input Information'!$H$4="R", VLOOKUP(B15,'RESIDUAL MASTER SHEET'!$C$6:$H$45,4,FALSE),IF('Input Information'!$H$4="D",IFERROR(VLOOKUP(B15,'DISTILLATE MASTER SHEET'!$C$6:$H$49,4,FALSE),"For Residual Oil only")))</f>
        <v>E</v>
      </c>
      <c r="F15" s="117">
        <f>'Input Information'!$B$33</f>
        <v>0</v>
      </c>
      <c r="G15" s="118">
        <f>IF('Input Information'!$H$4="R", VLOOKUP(B15,'RESIDUAL MASTER SHEET'!$C$6:$H$45,6,FALSE)/1000,IF('Input Information'!$H$4="D",IFERROR(VLOOKUP(B15,'DISTILLATE MASTER SHEET'!$C$6:$H$49,6,FALSE)/1000,"For Residual Oil only")))</f>
        <v>0</v>
      </c>
      <c r="H15" s="116" t="s">
        <v>827</v>
      </c>
    </row>
    <row r="16" spans="1:11" ht="15" customHeight="1">
      <c r="A16" s="107" t="s">
        <v>711</v>
      </c>
      <c r="B16" s="110" t="s">
        <v>412</v>
      </c>
      <c r="C16" s="115" t="str">
        <f>IF('Input Information'!$H$4="R", VLOOKUP(B16,'RESIDUAL MASTER SHEET'!$C$6:$H$45,3,FALSE),IF('Input Information'!$H$4="D",IFERROR(VLOOKUP(B16,'DISTILLATE MASTER SHEET'!$C$6:$H$49,3,FALSE),"For Residual Oil only")))</f>
        <v>For Residual Oil only</v>
      </c>
      <c r="D16" s="123" t="s">
        <v>826</v>
      </c>
      <c r="E16" s="115" t="str">
        <f>IF('Input Information'!$H$4="R", VLOOKUP(B16,'RESIDUAL MASTER SHEET'!$C$6:$H$45,4,FALSE),IF('Input Information'!$H$4="D",IFERROR(VLOOKUP(B16,'DISTILLATE MASTER SHEET'!$C$6:$H$49,4,FALSE),"For Residual Oil only")))</f>
        <v>For Residual Oil only</v>
      </c>
      <c r="F16" s="117">
        <f>'Input Information'!$B$33</f>
        <v>0</v>
      </c>
      <c r="G16" s="118" t="str">
        <f>IF('Input Information'!$H$4="R", VLOOKUP(B16,'RESIDUAL MASTER SHEET'!$C$6:$H$45,6,FALSE)/1000,IF('Input Information'!$H$4="D",IFERROR(VLOOKUP(B16,'DISTILLATE MASTER SHEET'!$C$6:$H$49,6,FALSE)/1000,"For Residual Oil only")))</f>
        <v>For Residual Oil only</v>
      </c>
      <c r="H16" s="116" t="s">
        <v>827</v>
      </c>
    </row>
    <row r="17" spans="1:8" ht="15" customHeight="1">
      <c r="A17" s="107" t="s">
        <v>739</v>
      </c>
      <c r="B17" s="110" t="s">
        <v>469</v>
      </c>
      <c r="C17" s="115" t="str">
        <f>IF('Input Information'!$H$4="R", VLOOKUP(B17,'RESIDUAL MASTER SHEET'!$C$6:$H$45,3,FALSE),IF('Input Information'!$H$4="D",IFERROR(VLOOKUP(B17,'DISTILLATE MASTER SHEET'!$C$6:$H$49,3,FALSE),"For Residual Oil only")))</f>
        <v>For Residual Oil only</v>
      </c>
      <c r="D17" s="123" t="s">
        <v>826</v>
      </c>
      <c r="E17" s="115" t="str">
        <f>IF('Input Information'!$H$4="R", VLOOKUP(B17,'RESIDUAL MASTER SHEET'!$C$6:$H$45,4,FALSE),IF('Input Information'!$H$4="D",IFERROR(VLOOKUP(B17,'DISTILLATE MASTER SHEET'!$C$6:$H$49,4,FALSE),"For Residual Oil only")))</f>
        <v>For Residual Oil only</v>
      </c>
      <c r="F17" s="117">
        <f>'Input Information'!$B$33</f>
        <v>0</v>
      </c>
      <c r="G17" s="118" t="str">
        <f>IF('Input Information'!$H$4="R", VLOOKUP(B17,'RESIDUAL MASTER SHEET'!$C$6:$H$45,6,FALSE)/1000,IF('Input Information'!$H$4="D",IFERROR(VLOOKUP(B17,'DISTILLATE MASTER SHEET'!$C$6:$H$49,6,FALSE)/1000,"For Residual Oil only")))</f>
        <v>For Residual Oil only</v>
      </c>
      <c r="H17" s="116" t="s">
        <v>827</v>
      </c>
    </row>
    <row r="18" spans="1:8" ht="4.5" customHeight="1"/>
    <row r="19" spans="1:8">
      <c r="A19" s="119" t="s">
        <v>884</v>
      </c>
    </row>
    <row r="22" spans="1:8">
      <c r="A22" s="148" t="s">
        <v>820</v>
      </c>
      <c r="H22" s="112"/>
    </row>
    <row r="23" spans="1:8">
      <c r="H23" s="112"/>
    </row>
    <row r="24" spans="1:8" ht="15" customHeight="1">
      <c r="A24" s="151" t="s">
        <v>802</v>
      </c>
      <c r="B24" s="114" t="s">
        <v>803</v>
      </c>
      <c r="C24" s="114" t="s">
        <v>882</v>
      </c>
      <c r="D24" s="114" t="s">
        <v>883</v>
      </c>
      <c r="E24" s="114" t="s">
        <v>804</v>
      </c>
      <c r="F24" s="114" t="s">
        <v>805</v>
      </c>
      <c r="G24" s="114" t="s">
        <v>813</v>
      </c>
      <c r="H24" s="114" t="s">
        <v>806</v>
      </c>
    </row>
    <row r="25" spans="1:8" ht="15" customHeight="1">
      <c r="A25" s="107" t="s">
        <v>39</v>
      </c>
      <c r="B25" s="110" t="s">
        <v>40</v>
      </c>
      <c r="C25" s="115">
        <f>IF('Input Information'!$H$4="R", VLOOKUP(B25,'RESIDUAL MASTER SHEET'!$C$6:$H$45,3,FALSE),IF('Input Information'!$H$4="D",IFERROR(VLOOKUP(B25,'DISTILLATE MASTER SHEET'!$C$6:$H$49,3,FALSE),"For Residual Oil only")))</f>
        <v>6.7067743893200199E-5</v>
      </c>
      <c r="D25" s="123" t="s">
        <v>825</v>
      </c>
      <c r="E25" s="124" t="str">
        <f>IF('Input Information'!$H$4="R", VLOOKUP(B25,'RESIDUAL MASTER SHEET'!$C$6:$H$45,4,FALSE),IF('Input Information'!$H$4="D",IFERROR(VLOOKUP(B25,'DISTILLATE MASTER SHEET'!$C$6:$H$49,4,FALSE),"For Residual Oil only")))</f>
        <v>E</v>
      </c>
      <c r="F25" s="117">
        <f>'Input Information'!$B$33</f>
        <v>0</v>
      </c>
      <c r="G25" s="118">
        <f>IF('Input Information'!$H$4="R", VLOOKUP(B25,'RESIDUAL MASTER SHEET'!$C$6:$H$45,6,FALSE),IF('Input Information'!$H$4="D",IFERROR(VLOOKUP(B25,'DISTILLATE MASTER SHEET'!$C$6:$H$49,6,FALSE),"For Residual Oil only")))</f>
        <v>0</v>
      </c>
      <c r="H25" s="116" t="s">
        <v>811</v>
      </c>
    </row>
    <row r="26" spans="1:8" ht="15" customHeight="1">
      <c r="A26" s="107" t="s">
        <v>41</v>
      </c>
      <c r="B26" s="110" t="s">
        <v>42</v>
      </c>
      <c r="C26" s="115">
        <f>IF('Input Information'!$H$4="R", VLOOKUP(B26,'RESIDUAL MASTER SHEET'!$C$6:$H$45,3,FALSE),IF('Input Information'!$H$4="D",IFERROR(VLOOKUP(B26,'DISTILLATE MASTER SHEET'!$C$6:$H$49,3,FALSE),"For Residual Oil only")))</f>
        <v>5.030080791990016E-5</v>
      </c>
      <c r="D26" s="123" t="s">
        <v>825</v>
      </c>
      <c r="E26" s="124" t="str">
        <f>IF('Input Information'!$H$4="R", VLOOKUP(B26,'RESIDUAL MASTER SHEET'!$C$6:$H$45,4,FALSE),IF('Input Information'!$H$4="D",IFERROR(VLOOKUP(B26,'DISTILLATE MASTER SHEET'!$C$6:$H$49,4,FALSE),"For Residual Oil only")))</f>
        <v>E</v>
      </c>
      <c r="F26" s="117">
        <f>'Input Information'!$B$33</f>
        <v>0</v>
      </c>
      <c r="G26" s="118">
        <f>IF('Input Information'!$H$4="R", VLOOKUP(B26,'RESIDUAL MASTER SHEET'!$C$6:$H$45,6,FALSE),IF('Input Information'!$H$4="D",IFERROR(VLOOKUP(B26,'DISTILLATE MASTER SHEET'!$C$6:$H$49,6,FALSE),"For Residual Oil only")))</f>
        <v>0</v>
      </c>
      <c r="H26" s="116" t="s">
        <v>811</v>
      </c>
    </row>
    <row r="27" spans="1:8" ht="15" customHeight="1">
      <c r="A27" s="107" t="s">
        <v>486</v>
      </c>
      <c r="B27" s="110" t="s">
        <v>485</v>
      </c>
      <c r="C27" s="115" t="str">
        <f>IF('Input Information'!$H$4="R", VLOOKUP(B27,'RESIDUAL MASTER SHEET'!$C$6:$H$45,3,FALSE),IF('Input Information'!$H$4="D",IFERROR(VLOOKUP(B27,'DISTILLATE MASTER SHEET'!$C$6:$H$49,3,FALSE),"For Residual Oil only")))</f>
        <v>For Residual Oil only</v>
      </c>
      <c r="D27" s="123" t="s">
        <v>825</v>
      </c>
      <c r="E27" s="124" t="str">
        <f>IF('Input Information'!$H$4="R", VLOOKUP(B27,'RESIDUAL MASTER SHEET'!$C$6:$H$45,4,FALSE),IF('Input Information'!$H$4="D",IFERROR(VLOOKUP(B27,'DISTILLATE MASTER SHEET'!$C$6:$H$49,4,FALSE),"For Residual Oil only")))</f>
        <v>For Residual Oil only</v>
      </c>
      <c r="F27" s="117">
        <f>'Input Information'!$B$33</f>
        <v>0</v>
      </c>
      <c r="G27" s="118" t="str">
        <f>IF('Input Information'!$H$4="R", VLOOKUP(B27,'RESIDUAL MASTER SHEET'!$C$6:$H$45,6,FALSE),IF('Input Information'!$H$4="D",IFERROR(VLOOKUP(B27,'DISTILLATE MASTER SHEET'!$C$6:$H$49,6,FALSE),"For Residual Oil only")))</f>
        <v>For Residual Oil only</v>
      </c>
      <c r="H27" s="116" t="s">
        <v>811</v>
      </c>
    </row>
    <row r="28" spans="1:8" ht="15" customHeight="1">
      <c r="A28" s="107" t="s">
        <v>710</v>
      </c>
      <c r="B28" s="110" t="s">
        <v>44</v>
      </c>
      <c r="C28" s="115">
        <f>IF('Input Information'!$H$4="R", VLOOKUP(B28,'RESIDUAL MASTER SHEET'!$C$6:$H$45,3,FALSE),IF('Input Information'!$H$4="D",IFERROR(VLOOKUP(B28,'DISTILLATE MASTER SHEET'!$C$6:$H$49,3,FALSE),"For Residual Oil only")))</f>
        <v>1.5090242375970044E-4</v>
      </c>
      <c r="D28" s="123" t="s">
        <v>825</v>
      </c>
      <c r="E28" s="124" t="str">
        <f>IF('Input Information'!$H$4="R", VLOOKUP(B28,'RESIDUAL MASTER SHEET'!$C$6:$H$45,4,FALSE),IF('Input Information'!$H$4="D",IFERROR(VLOOKUP(B28,'DISTILLATE MASTER SHEET'!$C$6:$H$49,4,FALSE),"For Residual Oil only")))</f>
        <v>E</v>
      </c>
      <c r="F28" s="117">
        <f>'Input Information'!$B$33</f>
        <v>0</v>
      </c>
      <c r="G28" s="118">
        <f>IF('Input Information'!$H$4="R", VLOOKUP(B28,'RESIDUAL MASTER SHEET'!$C$6:$H$45,6,FALSE),IF('Input Information'!$H$4="D",IFERROR(VLOOKUP(B28,'DISTILLATE MASTER SHEET'!$C$6:$H$49,6,FALSE),"For Residual Oil only")))</f>
        <v>0</v>
      </c>
      <c r="H28" s="116" t="s">
        <v>811</v>
      </c>
    </row>
    <row r="29" spans="1:8" ht="15" customHeight="1">
      <c r="A29" s="107" t="s">
        <v>45</v>
      </c>
      <c r="B29" s="110" t="s">
        <v>46</v>
      </c>
      <c r="C29" s="115">
        <f>IF('Input Information'!$H$4="R", VLOOKUP(B29,'RESIDUAL MASTER SHEET'!$C$6:$H$45,3,FALSE),IF('Input Information'!$H$4="D",IFERROR(VLOOKUP(B29,'DISTILLATE MASTER SHEET'!$C$6:$H$49,3,FALSE),"For Residual Oil only")))</f>
        <v>5.030080791990016E-5</v>
      </c>
      <c r="D29" s="123" t="s">
        <v>825</v>
      </c>
      <c r="E29" s="124" t="str">
        <f>IF('Input Information'!$H$4="R", VLOOKUP(B29,'RESIDUAL MASTER SHEET'!$C$6:$H$45,4,FALSE),IF('Input Information'!$H$4="D",IFERROR(VLOOKUP(B29,'DISTILLATE MASTER SHEET'!$C$6:$H$49,4,FALSE),"For Residual Oil only")))</f>
        <v>E</v>
      </c>
      <c r="F29" s="117">
        <f>'Input Information'!$B$33</f>
        <v>0</v>
      </c>
      <c r="G29" s="118">
        <f>IF('Input Information'!$H$4="R", VLOOKUP(B29,'RESIDUAL MASTER SHEET'!$C$6:$H$45,6,FALSE),IF('Input Information'!$H$4="D",IFERROR(VLOOKUP(B29,'DISTILLATE MASTER SHEET'!$C$6:$H$49,6,FALSE),"For Residual Oil only")))</f>
        <v>0</v>
      </c>
      <c r="H29" s="116" t="s">
        <v>811</v>
      </c>
    </row>
    <row r="30" spans="1:8" ht="15" customHeight="1">
      <c r="A30" s="107" t="s">
        <v>47</v>
      </c>
      <c r="B30" s="110" t="s">
        <v>48</v>
      </c>
      <c r="C30" s="115">
        <f>IF('Input Information'!$H$4="R", VLOOKUP(B30,'RESIDUAL MASTER SHEET'!$C$6:$H$45,3,FALSE),IF('Input Information'!$H$4="D",IFERROR(VLOOKUP(B30,'DISTILLATE MASTER SHEET'!$C$6:$H$49,3,FALSE),"For Residual Oil only")))</f>
        <v>2.5150403959950076E-4</v>
      </c>
      <c r="D30" s="123" t="s">
        <v>825</v>
      </c>
      <c r="E30" s="124" t="str">
        <f>IF('Input Information'!$H$4="R", VLOOKUP(B30,'RESIDUAL MASTER SHEET'!$C$6:$H$45,4,FALSE),IF('Input Information'!$H$4="D",IFERROR(VLOOKUP(B30,'DISTILLATE MASTER SHEET'!$C$6:$H$49,4,FALSE),"For Residual Oil only")))</f>
        <v>E</v>
      </c>
      <c r="F30" s="117">
        <f>'Input Information'!$B$33</f>
        <v>0</v>
      </c>
      <c r="G30" s="118">
        <f>IF('Input Information'!$H$4="R", VLOOKUP(B30,'RESIDUAL MASTER SHEET'!$C$6:$H$45,6,FALSE),IF('Input Information'!$H$4="D",IFERROR(VLOOKUP(B30,'DISTILLATE MASTER SHEET'!$C$6:$H$49,6,FALSE),"For Residual Oil only")))</f>
        <v>0</v>
      </c>
      <c r="H30" s="116" t="s">
        <v>811</v>
      </c>
    </row>
    <row r="31" spans="1:8" ht="15" customHeight="1">
      <c r="A31" s="107" t="s">
        <v>709</v>
      </c>
      <c r="B31" s="110" t="s">
        <v>487</v>
      </c>
      <c r="C31" s="115" t="str">
        <f>IF('Input Information'!$H$4="R", VLOOKUP(B31,'RESIDUAL MASTER SHEET'!$C$6:$H$45,3,FALSE),IF('Input Information'!$H$4="D",IFERROR(VLOOKUP(B31,'DISTILLATE MASTER SHEET'!$C$6:$H$49,3,FALSE),"For Residual Oil only")))</f>
        <v>For Residual Oil only</v>
      </c>
      <c r="D31" s="123" t="s">
        <v>825</v>
      </c>
      <c r="E31" s="124" t="str">
        <f>IF('Input Information'!$H$4="R", VLOOKUP(B31,'RESIDUAL MASTER SHEET'!$C$6:$H$45,4,FALSE),IF('Input Information'!$H$4="D",IFERROR(VLOOKUP(B31,'DISTILLATE MASTER SHEET'!$C$6:$H$49,4,FALSE),"For Residual Oil only")))</f>
        <v>For Residual Oil only</v>
      </c>
      <c r="F31" s="117">
        <f>'Input Information'!$B$33</f>
        <v>0</v>
      </c>
      <c r="G31" s="118" t="str">
        <f>IF('Input Information'!$H$4="R", VLOOKUP(B31,'RESIDUAL MASTER SHEET'!$C$6:$H$45,6,FALSE),IF('Input Information'!$H$4="D",IFERROR(VLOOKUP(B31,'DISTILLATE MASTER SHEET'!$C$6:$H$49,6,FALSE),"For Residual Oil only")))</f>
        <v>For Residual Oil only</v>
      </c>
      <c r="H31" s="116" t="s">
        <v>811</v>
      </c>
    </row>
    <row r="32" spans="1:8" ht="6" customHeight="1">
      <c r="A32" s="119"/>
      <c r="B32" s="120"/>
      <c r="C32" s="120"/>
      <c r="D32" s="120"/>
      <c r="E32" s="121"/>
      <c r="F32" s="120"/>
      <c r="G32" s="120"/>
      <c r="H32" s="120"/>
    </row>
    <row r="33" spans="1:1">
      <c r="A33" s="119" t="s">
        <v>884</v>
      </c>
    </row>
  </sheetData>
  <sheetProtection algorithmName="SHA-512" hashValue="fDGoCbjNUSDRc/ITvx3pQ7lNQHBwCXR02UtZxB1zw8RuNi2R/mV+vRGDRUxrJg2YF6v2e15Rx/8Y83UVFUGeaQ==" saltValue="Mu0UAQA64Fm1gVV/gipEpg==" spinCount="100000" sheet="1" objects="1" scenarios="1" selectLockedCells="1" selectUnlockedCells="1"/>
  <sortState ref="A25:H31">
    <sortCondition ref="B25"/>
  </sortState>
  <phoneticPr fontId="29" type="noConversion"/>
  <pageMargins left="0.39370078740157483" right="0.39370078740157483" top="0.47244094488188981" bottom="0.39370078740157483" header="0.31496062992125984" footer="0.31496062992125984"/>
  <pageSetup scale="76"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115" zoomScaleNormal="115" workbookViewId="0">
      <selection activeCell="J1" sqref="J1"/>
    </sheetView>
  </sheetViews>
  <sheetFormatPr defaultColWidth="9.5703125" defaultRowHeight="12.75"/>
  <cols>
    <col min="1" max="1" width="34" style="106" customWidth="1"/>
    <col min="2" max="2" width="15" style="106" customWidth="1"/>
    <col min="3" max="3" width="19.5703125" style="106" customWidth="1"/>
    <col min="4" max="5" width="10.42578125" style="106" customWidth="1"/>
    <col min="6" max="6" width="26.28515625" style="106" customWidth="1"/>
    <col min="7" max="7" width="13.5703125" style="106" bestFit="1" customWidth="1"/>
    <col min="8" max="8" width="9.5703125" style="106" customWidth="1"/>
    <col min="9" max="9" width="8.42578125" style="106" customWidth="1"/>
    <col min="10" max="10" width="5.7109375" style="106" customWidth="1"/>
    <col min="11" max="16384" width="9.5703125" style="106"/>
  </cols>
  <sheetData>
    <row r="1" spans="1:8">
      <c r="A1" s="149" t="s">
        <v>809</v>
      </c>
      <c r="E1" s="128"/>
      <c r="F1" s="128"/>
      <c r="G1" s="128"/>
      <c r="H1" s="128"/>
    </row>
    <row r="2" spans="1:8">
      <c r="A2" s="135"/>
      <c r="B2" s="131"/>
      <c r="C2" s="131"/>
      <c r="D2" s="131"/>
      <c r="E2" s="131"/>
      <c r="F2" s="131"/>
      <c r="G2" s="128"/>
      <c r="H2" s="128"/>
    </row>
    <row r="3" spans="1:8" ht="15" customHeight="1">
      <c r="A3" s="126" t="s">
        <v>802</v>
      </c>
      <c r="B3" s="96" t="s">
        <v>803</v>
      </c>
      <c r="C3" s="114" t="s">
        <v>882</v>
      </c>
      <c r="D3" s="114" t="s">
        <v>883</v>
      </c>
      <c r="E3" s="96" t="s">
        <v>804</v>
      </c>
      <c r="F3" s="96" t="s">
        <v>810</v>
      </c>
      <c r="G3" s="126" t="s">
        <v>813</v>
      </c>
      <c r="H3" s="96" t="s">
        <v>806</v>
      </c>
    </row>
    <row r="4" spans="1:8" ht="15" customHeight="1">
      <c r="A4" s="107" t="s">
        <v>508</v>
      </c>
      <c r="B4" s="251" t="s">
        <v>507</v>
      </c>
      <c r="C4" s="137">
        <f>IF('Input Information'!$H$4="R", VLOOKUP(B4,'RESIDUAL MASTER SHEET'!$C$6:$H$48,3,FALSE),IF('Input Information'!$H$4="D",IFERROR(VLOOKUP(B4,'DISTILLATE MASTER SHEET'!$C$6:$H$49,3,FALSE),"For Residual Oil only")))</f>
        <v>2.528340122107212E-6</v>
      </c>
      <c r="D4" s="123" t="s">
        <v>825</v>
      </c>
      <c r="E4" s="95" t="str">
        <f>IF('Input Information'!$H$4="R", VLOOKUP(B4,'RESIDUAL MASTER SHEET'!$C$6:$H$48,4,FALSE),IF('Input Information'!$H$4="D",IFERROR(VLOOKUP(B4,'DISTILLATE MASTER SHEET'!$C$6:$H$49,4,FALSE),"For Residual Oil only")))</f>
        <v>C</v>
      </c>
      <c r="F4" s="136">
        <f>'Input Information'!$B$33</f>
        <v>0</v>
      </c>
      <c r="G4" s="142">
        <f>IF('Input Information'!$H$4="R", VLOOKUP(B4,'RESIDUAL MASTER SHEET'!$C$6:$H$48,6,FALSE),IF('Input Information'!$H$4="D",IFERROR(VLOOKUP(B4,'DISTILLATE MASTER SHEET'!$C$6:$H$49,6,FALSE),"For Residual Oil only")))</f>
        <v>0</v>
      </c>
      <c r="H4" s="125" t="s">
        <v>828</v>
      </c>
    </row>
    <row r="5" spans="1:8" ht="15" customHeight="1">
      <c r="A5" s="107" t="s">
        <v>877</v>
      </c>
      <c r="B5" s="110" t="s">
        <v>510</v>
      </c>
      <c r="C5" s="137">
        <f>IF('Input Information'!$H$4="R", VLOOKUP(B5,'RESIDUAL MASTER SHEET'!$C$6:$H$48,3,FALSE),IF('Input Information'!$H$4="D",IFERROR(VLOOKUP(B5,'DISTILLATE MASTER SHEET'!$C$6:$H$49,3,FALSE),"For Residual Oil only")))</f>
        <v>3.0316116156072255E-8</v>
      </c>
      <c r="D5" s="123" t="s">
        <v>825</v>
      </c>
      <c r="E5" s="95" t="str">
        <f>IF('Input Information'!$H$4="R", VLOOKUP(B5,'RESIDUAL MASTER SHEET'!$C$6:$H$48,4,FALSE),IF('Input Information'!$H$4="D",IFERROR(VLOOKUP(B5,'DISTILLATE MASTER SHEET'!$C$6:$H$49,4,FALSE),"For Residual Oil only")))</f>
        <v>D</v>
      </c>
      <c r="F5" s="136">
        <f>'Input Information'!$B$33</f>
        <v>0</v>
      </c>
      <c r="G5" s="142">
        <f>IF('Input Information'!$H$4="R", VLOOKUP(B5,'RESIDUAL MASTER SHEET'!$C$6:$H$48,6,FALSE),IF('Input Information'!$H$4="D",IFERROR(VLOOKUP(B5,'DISTILLATE MASTER SHEET'!$C$6:$H$49,6,FALSE),"For Residual Oil only")))</f>
        <v>0</v>
      </c>
      <c r="H5" s="125" t="s">
        <v>828</v>
      </c>
    </row>
    <row r="6" spans="1:8" ht="15" customHeight="1">
      <c r="A6" s="107" t="s">
        <v>58</v>
      </c>
      <c r="B6" s="108" t="s">
        <v>59</v>
      </c>
      <c r="C6" s="137">
        <f>IF('Input Information'!$H$4="R", VLOOKUP(B6,'RESIDUAL MASTER SHEET'!$C$6:$H$48,3,FALSE),IF('Input Information'!$H$4="D",IFERROR(VLOOKUP(B6,'DISTILLATE MASTER SHEET'!$C$6:$H$49,3,FALSE),"For Residual Oil only")))</f>
        <v>1.4618838620714684E-7</v>
      </c>
      <c r="D6" s="123" t="s">
        <v>825</v>
      </c>
      <c r="E6" s="95" t="str">
        <f>IF('Input Information'!$H$4="R", VLOOKUP(B6,'RESIDUAL MASTER SHEET'!$C$6:$H$48,4,FALSE),IF('Input Information'!$H$4="D",IFERROR(VLOOKUP(B6,'DISTILLATE MASTER SHEET'!$C$6:$H$49,4,FALSE),"For Residual Oil only")))</f>
        <v>C</v>
      </c>
      <c r="F6" s="136">
        <f>'Input Information'!$B$33</f>
        <v>0</v>
      </c>
      <c r="G6" s="142">
        <f>IF('Input Information'!$H$4="R", VLOOKUP(B6,'RESIDUAL MASTER SHEET'!$C$6:$H$48,6,FALSE),IF('Input Information'!$H$4="D",IFERROR(VLOOKUP(B6,'DISTILLATE MASTER SHEET'!$C$6:$H$49,6,FALSE),"For Residual Oil only")))</f>
        <v>0</v>
      </c>
      <c r="H6" s="125" t="s">
        <v>828</v>
      </c>
    </row>
    <row r="7" spans="1:8" ht="15" customHeight="1">
      <c r="A7" s="107" t="s">
        <v>60</v>
      </c>
      <c r="B7" s="110" t="s">
        <v>61</v>
      </c>
      <c r="C7" s="137">
        <f>IF('Input Information'!$H$4="R", VLOOKUP(B7,'RESIDUAL MASTER SHEET'!$C$6:$H$48,3,FALSE),IF('Input Information'!$H$4="D",IFERROR(VLOOKUP(B7,'DISTILLATE MASTER SHEET'!$C$6:$H$49,3,FALSE),"For Residual Oil only")))</f>
        <v>4.8050444974644168E-7</v>
      </c>
      <c r="D7" s="123" t="s">
        <v>825</v>
      </c>
      <c r="E7" s="95" t="str">
        <f>IF('Input Information'!$H$4="R", VLOOKUP(B7,'RESIDUAL MASTER SHEET'!$C$6:$H$48,4,FALSE),IF('Input Information'!$H$4="D",IFERROR(VLOOKUP(B7,'DISTILLATE MASTER SHEET'!$C$6:$H$49,4,FALSE),"For Residual Oil only")))</f>
        <v>C</v>
      </c>
      <c r="F7" s="136">
        <f>'Input Information'!$B$33</f>
        <v>0</v>
      </c>
      <c r="G7" s="142">
        <f>IF('Input Information'!$H$4="R", VLOOKUP(B7,'RESIDUAL MASTER SHEET'!$C$6:$H$48,6,FALSE),IF('Input Information'!$H$4="D",IFERROR(VLOOKUP(B7,'DISTILLATE MASTER SHEET'!$C$6:$H$49,6,FALSE),"For Residual Oil only")))</f>
        <v>0</v>
      </c>
      <c r="H7" s="125" t="s">
        <v>828</v>
      </c>
    </row>
    <row r="8" spans="1:8" ht="15" customHeight="1">
      <c r="A8" s="107" t="s">
        <v>706</v>
      </c>
      <c r="B8" s="110" t="s">
        <v>63</v>
      </c>
      <c r="C8" s="137">
        <f>IF('Input Information'!$H$4="R", VLOOKUP(B8,'RESIDUAL MASTER SHEET'!$C$6:$H$48,3,FALSE),IF('Input Information'!$H$4="D",IFERROR(VLOOKUP(B8,'DISTILLATE MASTER SHEET'!$C$6:$H$49,3,FALSE),"For Residual Oil only")))</f>
        <v>2.851871796500078E-7</v>
      </c>
      <c r="D8" s="123" t="s">
        <v>825</v>
      </c>
      <c r="E8" s="95" t="str">
        <f>IF('Input Information'!$H$4="R", VLOOKUP(B8,'RESIDUAL MASTER SHEET'!$C$6:$H$48,4,FALSE),IF('Input Information'!$H$4="D",IFERROR(VLOOKUP(B8,'DISTILLATE MASTER SHEET'!$C$6:$H$49,4,FALSE),"For Residual Oil only")))</f>
        <v>C</v>
      </c>
      <c r="F8" s="136">
        <f>'Input Information'!$B$33</f>
        <v>0</v>
      </c>
      <c r="G8" s="142">
        <f>IF('Input Information'!$H$4="R", VLOOKUP(B8,'RESIDUAL MASTER SHEET'!$C$6:$H$48,6,FALSE),IF('Input Information'!$H$4="D",IFERROR(VLOOKUP(B8,'DISTILLATE MASTER SHEET'!$C$6:$H$49,6,FALSE),"For Residual Oil only")))</f>
        <v>0</v>
      </c>
      <c r="H8" s="125" t="s">
        <v>828</v>
      </c>
    </row>
    <row r="9" spans="1:8" ht="15" customHeight="1">
      <c r="A9" s="107" t="s">
        <v>64</v>
      </c>
      <c r="B9" s="110" t="s">
        <v>65</v>
      </c>
      <c r="C9" s="137">
        <f>IF('Input Information'!$H$4="R", VLOOKUP(B9,'RESIDUAL MASTER SHEET'!$C$6:$H$48,3,FALSE),IF('Input Information'!$H$4="D",IFERROR(VLOOKUP(B9,'DISTILLATE MASTER SHEET'!$C$6:$H$49,3,FALSE),"For Residual Oil only")))</f>
        <v>1.7734328818571913E-7</v>
      </c>
      <c r="D9" s="123" t="s">
        <v>825</v>
      </c>
      <c r="E9" s="95" t="str">
        <f>IF('Input Information'!$H$4="R", VLOOKUP(B9,'RESIDUAL MASTER SHEET'!$C$6:$H$48,4,FALSE),IF('Input Information'!$H$4="D",IFERROR(VLOOKUP(B9,'DISTILLATE MASTER SHEET'!$C$6:$H$49,4,FALSE),"For Residual Oil only")))</f>
        <v>C</v>
      </c>
      <c r="F9" s="136">
        <f>'Input Information'!$B$33</f>
        <v>0</v>
      </c>
      <c r="G9" s="142">
        <f>IF('Input Information'!$H$4="R", VLOOKUP(B9,'RESIDUAL MASTER SHEET'!$C$6:$H$48,6,FALSE),IF('Input Information'!$H$4="D",IFERROR(VLOOKUP(B9,'DISTILLATE MASTER SHEET'!$C$6:$H$49,6,FALSE),"For Residual Oil only")))</f>
        <v>0</v>
      </c>
      <c r="H9" s="125" t="s">
        <v>828</v>
      </c>
    </row>
    <row r="10" spans="1:8" ht="15" customHeight="1">
      <c r="A10" s="107" t="s">
        <v>66</v>
      </c>
      <c r="B10" s="110" t="s">
        <v>67</v>
      </c>
      <c r="C10" s="137">
        <f>IF('Input Information'!$H$4="R", VLOOKUP(B10,'RESIDUAL MASTER SHEET'!$C$6:$H$48,3,FALSE),IF('Input Information'!$H$4="D",IFERROR(VLOOKUP(B10,'DISTILLATE MASTER SHEET'!$C$6:$H$49,3,FALSE),"For Residual Oil only")))</f>
        <v>2.7080799412143594E-7</v>
      </c>
      <c r="D10" s="123" t="s">
        <v>825</v>
      </c>
      <c r="E10" s="95" t="str">
        <f>IF('Input Information'!$H$4="R", VLOOKUP(B10,'RESIDUAL MASTER SHEET'!$C$6:$H$48,4,FALSE),IF('Input Information'!$H$4="D",IFERROR(VLOOKUP(B10,'DISTILLATE MASTER SHEET'!$C$6:$H$49,4,FALSE),"For Residual Oil only")))</f>
        <v>C</v>
      </c>
      <c r="F10" s="136">
        <f>'Input Information'!$B$33</f>
        <v>0</v>
      </c>
      <c r="G10" s="142">
        <f>IF('Input Information'!$H$4="R", VLOOKUP(B10,'RESIDUAL MASTER SHEET'!$C$6:$H$48,6,FALSE),IF('Input Information'!$H$4="D",IFERROR(VLOOKUP(B10,'DISTILLATE MASTER SHEET'!$C$6:$H$49,6,FALSE),"For Residual Oil only")))</f>
        <v>0</v>
      </c>
      <c r="H10" s="125" t="s">
        <v>828</v>
      </c>
    </row>
    <row r="11" spans="1:8" ht="15" customHeight="1">
      <c r="A11" s="107" t="s">
        <v>707</v>
      </c>
      <c r="B11" s="110" t="s">
        <v>69</v>
      </c>
      <c r="C11" s="137">
        <f>IF('Input Information'!$H$4="R", VLOOKUP(B11,'RESIDUAL MASTER SHEET'!$C$6:$H$48,3,FALSE),IF('Input Information'!$H$4="D",IFERROR(VLOOKUP(B11,'DISTILLATE MASTER SHEET'!$C$6:$H$49,3,FALSE),"For Residual Oil only")))</f>
        <v>1.7734328818571913E-7</v>
      </c>
      <c r="D11" s="123" t="s">
        <v>825</v>
      </c>
      <c r="E11" s="95" t="str">
        <f>IF('Input Information'!$H$4="R", VLOOKUP(B11,'RESIDUAL MASTER SHEET'!$C$6:$H$48,4,FALSE),IF('Input Information'!$H$4="D",IFERROR(VLOOKUP(B11,'DISTILLATE MASTER SHEET'!$C$6:$H$49,4,FALSE),"For Residual Oil only")))</f>
        <v>C</v>
      </c>
      <c r="F11" s="136">
        <f>'Input Information'!$B$33</f>
        <v>0</v>
      </c>
      <c r="G11" s="142">
        <f>IF('Input Information'!$H$4="R", VLOOKUP(B11,'RESIDUAL MASTER SHEET'!$C$6:$H$48,6,FALSE),IF('Input Information'!$H$4="D",IFERROR(VLOOKUP(B11,'DISTILLATE MASTER SHEET'!$C$6:$H$49,6,FALSE),"For Residual Oil only")))</f>
        <v>0</v>
      </c>
      <c r="H11" s="125" t="s">
        <v>828</v>
      </c>
    </row>
    <row r="12" spans="1:8" ht="15" customHeight="1">
      <c r="A12" s="107" t="s">
        <v>70</v>
      </c>
      <c r="B12" s="110" t="s">
        <v>71</v>
      </c>
      <c r="C12" s="137">
        <f>IF('Input Information'!$H$4="R", VLOOKUP(B12,'RESIDUAL MASTER SHEET'!$C$6:$H$48,3,FALSE),IF('Input Information'!$H$4="D",IFERROR(VLOOKUP(B12,'DISTILLATE MASTER SHEET'!$C$6:$H$49,3,FALSE),"For Residual Oil only")))</f>
        <v>2.0011033193929119E-7</v>
      </c>
      <c r="D12" s="123" t="s">
        <v>825</v>
      </c>
      <c r="E12" s="95" t="str">
        <f>IF('Input Information'!$H$4="R", VLOOKUP(B12,'RESIDUAL MASTER SHEET'!$C$6:$H$48,4,FALSE),IF('Input Information'!$H$4="D",IFERROR(VLOOKUP(B12,'DISTILLATE MASTER SHEET'!$C$6:$H$49,4,FALSE),"For Residual Oil only")))</f>
        <v>D</v>
      </c>
      <c r="F12" s="136">
        <f>'Input Information'!$B$33</f>
        <v>0</v>
      </c>
      <c r="G12" s="142">
        <f>IF('Input Information'!$H$4="R", VLOOKUP(B12,'RESIDUAL MASTER SHEET'!$C$6:$H$48,6,FALSE),IF('Input Information'!$H$4="D",IFERROR(VLOOKUP(B12,'DISTILLATE MASTER SHEET'!$C$6:$H$49,6,FALSE),"For Residual Oil only")))</f>
        <v>0</v>
      </c>
      <c r="H12" s="125" t="s">
        <v>828</v>
      </c>
    </row>
    <row r="13" spans="1:8" ht="15" customHeight="1">
      <c r="A13" s="107" t="s">
        <v>74</v>
      </c>
      <c r="B13" s="110" t="s">
        <v>75</v>
      </c>
      <c r="C13" s="137">
        <f>IF('Input Information'!$H$4="R", VLOOKUP(B13,'RESIDUAL MASTER SHEET'!$C$6:$H$48,3,FALSE),IF('Input Information'!$H$4="D",IFERROR(VLOOKUP(B13,'DISTILLATE MASTER SHEET'!$C$6:$H$49,3,FALSE),"For Residual Oil only")))</f>
        <v>5.7996048298573011E-7</v>
      </c>
      <c r="D13" s="123" t="s">
        <v>825</v>
      </c>
      <c r="E13" s="95" t="str">
        <f>IF('Input Information'!$H$4="R", VLOOKUP(B13,'RESIDUAL MASTER SHEET'!$C$6:$H$48,4,FALSE),IF('Input Information'!$H$4="D",IFERROR(VLOOKUP(B13,'DISTILLATE MASTER SHEET'!$C$6:$H$49,4,FALSE),"For Residual Oil only")))</f>
        <v>C</v>
      </c>
      <c r="F13" s="136">
        <f>'Input Information'!$B$33</f>
        <v>0</v>
      </c>
      <c r="G13" s="142">
        <f>IF('Input Information'!$H$4="R", VLOOKUP(B13,'RESIDUAL MASTER SHEET'!$C$6:$H$48,6,FALSE),IF('Input Information'!$H$4="D",IFERROR(VLOOKUP(B13,'DISTILLATE MASTER SHEET'!$C$6:$H$49,6,FALSE),"For Residual Oil only")))</f>
        <v>0</v>
      </c>
      <c r="H13" s="125" t="s">
        <v>828</v>
      </c>
    </row>
    <row r="14" spans="1:8" ht="15" customHeight="1">
      <c r="A14" s="107" t="s">
        <v>545</v>
      </c>
      <c r="B14" s="110" t="s">
        <v>544</v>
      </c>
      <c r="C14" s="137">
        <f>IF('Input Information'!$H$4="R", VLOOKUP(B14,'RESIDUAL MASTER SHEET'!$C$6:$H$48,3,FALSE),IF('Input Information'!$H$4="D",IFERROR(VLOOKUP(B14,'DISTILLATE MASTER SHEET'!$C$6:$H$49,3,FALSE),"For Residual Oil only")))</f>
        <v>5.3562466093930034E-7</v>
      </c>
      <c r="D14" s="123" t="s">
        <v>825</v>
      </c>
      <c r="E14" s="95" t="str">
        <f>IF('Input Information'!$H$4="R", VLOOKUP(B14,'RESIDUAL MASTER SHEET'!$C$6:$H$48,4,FALSE),IF('Input Information'!$H$4="D",IFERROR(VLOOKUP(B14,'DISTILLATE MASTER SHEET'!$C$6:$H$49,4,FALSE),"For Residual Oil only")))</f>
        <v>C</v>
      </c>
      <c r="F14" s="136">
        <f>'Input Information'!$B$33</f>
        <v>0</v>
      </c>
      <c r="G14" s="142">
        <f>IF('Input Information'!$H$4="R", VLOOKUP(B14,'RESIDUAL MASTER SHEET'!$C$6:$H$48,6,FALSE),IF('Input Information'!$H$4="D",IFERROR(VLOOKUP(B14,'DISTILLATE MASTER SHEET'!$C$6:$H$49,6,FALSE),"For Residual Oil only")))</f>
        <v>0</v>
      </c>
      <c r="H14" s="125" t="s">
        <v>828</v>
      </c>
    </row>
    <row r="15" spans="1:8" ht="15" customHeight="1">
      <c r="A15" s="107" t="s">
        <v>76</v>
      </c>
      <c r="B15" s="110" t="s">
        <v>77</v>
      </c>
      <c r="C15" s="137">
        <f>IF('Input Information'!$H$4="R", VLOOKUP(B15,'RESIDUAL MASTER SHEET'!$C$6:$H$48,3,FALSE),IF('Input Information'!$H$4="D",IFERROR(VLOOKUP(B15,'DISTILLATE MASTER SHEET'!$C$6:$H$49,3,FALSE),"For Residual Oil only")))</f>
        <v>2.5642880859286413E-7</v>
      </c>
      <c r="D15" s="123" t="s">
        <v>825</v>
      </c>
      <c r="E15" s="95" t="str">
        <f>IF('Input Information'!$H$4="R", VLOOKUP(B15,'RESIDUAL MASTER SHEET'!$C$6:$H$48,4,FALSE),IF('Input Information'!$H$4="D",IFERROR(VLOOKUP(B15,'DISTILLATE MASTER SHEET'!$C$6:$H$49,4,FALSE),"For Residual Oil only")))</f>
        <v>C</v>
      </c>
      <c r="F15" s="136">
        <f>'Input Information'!$B$33</f>
        <v>0</v>
      </c>
      <c r="G15" s="142">
        <f>IF('Input Information'!$H$4="R", VLOOKUP(B15,'RESIDUAL MASTER SHEET'!$C$6:$H$48,6,FALSE),IF('Input Information'!$H$4="D",IFERROR(VLOOKUP(B15,'DISTILLATE MASTER SHEET'!$C$6:$H$49,6,FALSE),"For Residual Oil only")))</f>
        <v>0</v>
      </c>
      <c r="H15" s="125" t="s">
        <v>828</v>
      </c>
    </row>
    <row r="16" spans="1:8" ht="15" customHeight="1">
      <c r="A16" s="107" t="s">
        <v>80</v>
      </c>
      <c r="B16" s="110" t="s">
        <v>81</v>
      </c>
      <c r="C16" s="137">
        <f>IF('Input Information'!$H$4="R", VLOOKUP(B16,'RESIDUAL MASTER SHEET'!$C$6:$H$48,3,FALSE),IF('Input Information'!$H$4="D",IFERROR(VLOOKUP(B16,'DISTILLATE MASTER SHEET'!$C$6:$H$49,3,FALSE),"For Residual Oil only")))</f>
        <v>1.2581787337500342E-6</v>
      </c>
      <c r="D16" s="123" t="s">
        <v>825</v>
      </c>
      <c r="E16" s="95" t="str">
        <f>IF('Input Information'!$H$4="R", VLOOKUP(B16,'RESIDUAL MASTER SHEET'!$C$6:$H$48,4,FALSE),IF('Input Information'!$H$4="D",IFERROR(VLOOKUP(B16,'DISTILLATE MASTER SHEET'!$C$6:$H$49,4,FALSE),"For Residual Oil only")))</f>
        <v>E</v>
      </c>
      <c r="F16" s="136">
        <f>'Input Information'!$B$33</f>
        <v>0</v>
      </c>
      <c r="G16" s="142">
        <f>IF('Input Information'!$H$4="R", VLOOKUP(B16,'RESIDUAL MASTER SHEET'!$C$6:$H$48,6,FALSE),IF('Input Information'!$H$4="D",IFERROR(VLOOKUP(B16,'DISTILLATE MASTER SHEET'!$C$6:$H$49,6,FALSE),"For Residual Oil only")))</f>
        <v>0</v>
      </c>
      <c r="H16" s="125" t="s">
        <v>828</v>
      </c>
    </row>
    <row r="17" spans="1:8" ht="15" customHeight="1">
      <c r="A17" s="107" t="s">
        <v>82</v>
      </c>
      <c r="B17" s="110" t="s">
        <v>83</v>
      </c>
      <c r="C17" s="137">
        <f>IF('Input Information'!$H$4="R", VLOOKUP(B17,'RESIDUAL MASTER SHEET'!$C$6:$H$48,3,FALSE),IF('Input Information'!$H$4="D",IFERROR(VLOOKUP(B17,'DISTILLATE MASTER SHEET'!$C$6:$H$49,3,FALSE),"For Residual Oil only")))</f>
        <v>5.092628208035853E-7</v>
      </c>
      <c r="D17" s="123" t="s">
        <v>825</v>
      </c>
      <c r="E17" s="95" t="str">
        <f>IF('Input Information'!$H$4="R", VLOOKUP(B17,'RESIDUAL MASTER SHEET'!$C$6:$H$48,4,FALSE),IF('Input Information'!$H$4="D",IFERROR(VLOOKUP(B17,'DISTILLATE MASTER SHEET'!$C$6:$H$49,4,FALSE),"For Residual Oil only")))</f>
        <v>C</v>
      </c>
      <c r="F17" s="136">
        <f>'Input Information'!$B$33</f>
        <v>0</v>
      </c>
      <c r="G17" s="142">
        <f>IF('Input Information'!$H$4="R", VLOOKUP(B17,'RESIDUAL MASTER SHEET'!$C$6:$H$48,6,FALSE),IF('Input Information'!$H$4="D",IFERROR(VLOOKUP(B17,'DISTILLATE MASTER SHEET'!$C$6:$H$49,6,FALSE),"For Residual Oil only")))</f>
        <v>0</v>
      </c>
      <c r="H17" s="125" t="s">
        <v>828</v>
      </c>
    </row>
    <row r="18" spans="1:8" ht="8.25" customHeight="1">
      <c r="A18" s="111"/>
      <c r="B18" s="138"/>
      <c r="C18" s="139"/>
      <c r="D18" s="140"/>
      <c r="E18" s="140"/>
      <c r="F18" s="140"/>
      <c r="G18" s="141"/>
      <c r="H18" s="140"/>
    </row>
    <row r="19" spans="1:8" ht="15" customHeight="1">
      <c r="A19" s="119" t="s">
        <v>884</v>
      </c>
      <c r="B19" s="129"/>
      <c r="C19" s="128"/>
      <c r="D19" s="128"/>
      <c r="E19" s="128"/>
      <c r="F19" s="128"/>
      <c r="G19" s="128"/>
      <c r="H19" s="128"/>
    </row>
    <row r="20" spans="1:8" ht="15" customHeight="1">
      <c r="A20" s="113"/>
      <c r="B20" s="129"/>
      <c r="C20" s="128"/>
      <c r="D20" s="128"/>
      <c r="E20" s="128"/>
      <c r="F20" s="128"/>
      <c r="G20" s="128"/>
      <c r="H20" s="128"/>
    </row>
    <row r="21" spans="1:8" ht="15" customHeight="1">
      <c r="A21" s="113"/>
      <c r="B21" s="129"/>
      <c r="C21" s="128"/>
      <c r="D21" s="128"/>
      <c r="E21" s="128"/>
      <c r="F21" s="128"/>
      <c r="G21" s="128"/>
      <c r="H21" s="128"/>
    </row>
    <row r="22" spans="1:8" ht="15" customHeight="1">
      <c r="A22" s="113"/>
      <c r="B22" s="129"/>
      <c r="C22" s="128"/>
      <c r="D22" s="128"/>
      <c r="E22" s="128"/>
      <c r="F22" s="128"/>
      <c r="G22" s="128"/>
      <c r="H22" s="128"/>
    </row>
    <row r="23" spans="1:8">
      <c r="A23" s="149" t="s">
        <v>812</v>
      </c>
      <c r="B23" s="129"/>
      <c r="E23" s="130"/>
      <c r="F23" s="130"/>
      <c r="G23" s="128"/>
      <c r="H23" s="128"/>
    </row>
    <row r="24" spans="1:8">
      <c r="A24" s="128"/>
      <c r="B24" s="131"/>
      <c r="C24" s="131"/>
      <c r="D24" s="131"/>
      <c r="E24" s="131"/>
      <c r="F24" s="131"/>
      <c r="G24" s="128"/>
      <c r="H24" s="128"/>
    </row>
    <row r="25" spans="1:8" ht="15" customHeight="1">
      <c r="A25" s="126" t="s">
        <v>802</v>
      </c>
      <c r="B25" s="96" t="s">
        <v>803</v>
      </c>
      <c r="C25" s="114" t="s">
        <v>882</v>
      </c>
      <c r="D25" s="114" t="s">
        <v>883</v>
      </c>
      <c r="E25" s="96" t="s">
        <v>804</v>
      </c>
      <c r="F25" s="96" t="s">
        <v>810</v>
      </c>
      <c r="G25" s="126" t="s">
        <v>813</v>
      </c>
      <c r="H25" s="96" t="s">
        <v>806</v>
      </c>
    </row>
    <row r="26" spans="1:8" ht="15" customHeight="1">
      <c r="A26" s="109" t="s">
        <v>814</v>
      </c>
      <c r="B26" s="108" t="s">
        <v>79</v>
      </c>
      <c r="C26" s="137">
        <f>IF('Input Information'!$H$4="R", VLOOKUP(B26,'RESIDUAL MASTER SHEET'!$C$6:$H$45,3,FALSE),IF('Input Information'!$H$4="D",IFERROR(VLOOKUP(B26,'DISTILLATE MASTER SHEET'!$C$6:$H$49,3,FALSE),"For Residual Oil only")))</f>
        <v>3.7146229282143872E-10</v>
      </c>
      <c r="D26" s="123" t="s">
        <v>825</v>
      </c>
      <c r="E26" s="95" t="str">
        <f>IF('Input Information'!$H$4="R", VLOOKUP(B26,'RESIDUAL MASTER SHEET'!$C$6:$H$45,4,FALSE),IF('Input Information'!$H$4="D",IFERROR(VLOOKUP(B26,'DISTILLATE MASTER SHEET'!$C$6:$H$49,4,FALSE),"For Residual Oil only")))</f>
        <v>E</v>
      </c>
      <c r="F26" s="136">
        <f>'Input Information'!$B$33</f>
        <v>0</v>
      </c>
      <c r="G26" s="142">
        <f>IF('Input Information'!$H$4="R", VLOOKUP(B26,'RESIDUAL MASTER SHEET'!$C$6:$H$45,6,FALSE),IF('Input Information'!$H$4="D",IFERROR(VLOOKUP(B26,'DISTILLATE MASTER SHEET'!$C$6:$H$49,6,FALSE),"For Residual Oil only")))</f>
        <v>0</v>
      </c>
      <c r="H26" s="125" t="s">
        <v>828</v>
      </c>
    </row>
    <row r="27" spans="1:8" ht="6" customHeight="1">
      <c r="A27" s="134"/>
      <c r="B27" s="132"/>
      <c r="C27" s="133"/>
      <c r="D27" s="133"/>
      <c r="E27" s="133"/>
      <c r="F27" s="133"/>
      <c r="G27" s="132"/>
      <c r="H27" s="133"/>
    </row>
    <row r="28" spans="1:8" ht="15" customHeight="1">
      <c r="A28" s="119" t="s">
        <v>884</v>
      </c>
      <c r="B28" s="129"/>
      <c r="C28" s="128"/>
      <c r="D28" s="128"/>
      <c r="E28" s="128"/>
      <c r="F28" s="128"/>
      <c r="G28" s="128"/>
      <c r="H28" s="128"/>
    </row>
    <row r="29" spans="1:8">
      <c r="A29" s="128"/>
      <c r="B29" s="129"/>
      <c r="C29" s="128"/>
      <c r="D29" s="128"/>
      <c r="E29" s="128"/>
      <c r="F29" s="128"/>
      <c r="G29" s="128"/>
      <c r="H29" s="128"/>
    </row>
    <row r="30" spans="1:8">
      <c r="A30" s="128"/>
      <c r="B30" s="129"/>
      <c r="C30" s="128"/>
      <c r="D30" s="128"/>
      <c r="E30" s="128"/>
      <c r="F30" s="128"/>
      <c r="G30" s="128"/>
      <c r="H30" s="128"/>
    </row>
  </sheetData>
  <sheetProtection algorithmName="SHA-512" hashValue="Yy15BBQRf2KIA4RH/SXf0ztKut+mf0oel1KtCoQqgGbOridGhdmPW67BAZ+GwvOBBc/4VadoRmAs7ZYaVyEHEA==" saltValue="nj6szQiWD42KprF3mgnMwg==" spinCount="100000" sheet="1" objects="1" scenarios="1" selectLockedCells="1" selectUnlockedCells="1"/>
  <sortState ref="A4:H17">
    <sortCondition ref="A4"/>
  </sortState>
  <phoneticPr fontId="29" type="noConversion"/>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2"/>
  <sheetViews>
    <sheetView zoomScale="115" zoomScaleNormal="115" workbookViewId="0">
      <selection activeCell="K2" sqref="K2"/>
    </sheetView>
  </sheetViews>
  <sheetFormatPr defaultColWidth="9.5703125" defaultRowHeight="12.75"/>
  <cols>
    <col min="1" max="1" width="47.28515625" style="106" customWidth="1"/>
    <col min="2" max="2" width="12.5703125" style="106" customWidth="1"/>
    <col min="3" max="3" width="19.28515625" style="106" customWidth="1"/>
    <col min="4" max="5" width="10.42578125" style="106" customWidth="1"/>
    <col min="6" max="6" width="26.7109375" style="106" customWidth="1"/>
    <col min="7" max="7" width="20.28515625" style="106" bestFit="1" customWidth="1"/>
    <col min="8" max="8" width="10.7109375" style="106" customWidth="1"/>
    <col min="9" max="16384" width="9.5703125" style="106"/>
  </cols>
  <sheetData>
    <row r="1" spans="1:8">
      <c r="A1" s="150" t="s">
        <v>807</v>
      </c>
      <c r="H1" s="112"/>
    </row>
    <row r="2" spans="1:8">
      <c r="H2" s="112"/>
    </row>
    <row r="3" spans="1:8" ht="15" customHeight="1">
      <c r="A3" s="151" t="s">
        <v>802</v>
      </c>
      <c r="B3" s="114" t="s">
        <v>803</v>
      </c>
      <c r="C3" s="114" t="s">
        <v>882</v>
      </c>
      <c r="D3" s="114" t="s">
        <v>883</v>
      </c>
      <c r="E3" s="114" t="s">
        <v>804</v>
      </c>
      <c r="F3" s="114" t="s">
        <v>805</v>
      </c>
      <c r="G3" s="114" t="s">
        <v>813</v>
      </c>
      <c r="H3" s="114" t="s">
        <v>806</v>
      </c>
    </row>
    <row r="4" spans="1:8" s="162" customFormat="1" ht="15" customHeight="1">
      <c r="A4" s="163" t="s">
        <v>832</v>
      </c>
      <c r="B4" s="155" t="s">
        <v>55</v>
      </c>
      <c r="C4" s="156">
        <f>IF('Input Information'!$H$4="R", VLOOKUP(B4,'RESIDUAL MASTER SHEET'!$C$6:$H$45,3,FALSE),IF('Input Information'!$H$4="D",IFERROR(VLOOKUP(B4,'DISTILLATE MASTER SHEET'!$C$6:$H$49,3,FALSE),"For Residual Oil only")))</f>
        <v>0.59913273035715919</v>
      </c>
      <c r="D4" s="157" t="s">
        <v>833</v>
      </c>
      <c r="E4" s="158" t="str">
        <f>IF('Input Information'!$H$4="R", VLOOKUP(B4,'RESIDUAL MASTER SHEET'!$C$6:$H$45,4,FALSE),IF('Input Information'!$H$4="D",IFERROR(VLOOKUP(B4,'DISTILLATE MASTER SHEET'!$C$6:$H$49,4,FALSE),"For Residual Oil only")))</f>
        <v>A</v>
      </c>
      <c r="F4" s="159">
        <f>'Input Information'!$B$33</f>
        <v>0</v>
      </c>
      <c r="G4" s="160">
        <f>IF('Input Information'!$H$4="R", VLOOKUP(B4,'RESIDUAL MASTER SHEET'!$C$6:$H$45,6,FALSE)/1000,IF('Input Information'!$H$4="D",IFERROR(VLOOKUP(B4,'DISTILLATE MASTER SHEET'!$C$6:$H$49,6,FALSE)/1000,"For Residual Oil only")))</f>
        <v>0</v>
      </c>
      <c r="H4" s="161" t="s">
        <v>827</v>
      </c>
    </row>
    <row r="5" spans="1:8" s="162" customFormat="1" ht="15" customHeight="1">
      <c r="A5" s="163" t="s">
        <v>841</v>
      </c>
      <c r="B5" s="155" t="s">
        <v>52</v>
      </c>
      <c r="C5" s="156">
        <f>IF('Input Information'!$H$4="R", VLOOKUP(B5,'RESIDUAL MASTER SHEET'!$C$6:$H$45,3,FALSE),IF('Input Information'!$H$4="D",IFERROR(VLOOKUP(B5,'DISTILLATE MASTER SHEET'!$C$6:$H$49,3,FALSE),"For Residual Oil only")))</f>
        <v>2.0362292731082912</v>
      </c>
      <c r="D5" s="157" t="s">
        <v>834</v>
      </c>
      <c r="E5" s="158" t="str">
        <f>IF('Input Information'!$H$4="R", VLOOKUP(B5,'RESIDUAL MASTER SHEET'!$C$6:$H$45,4,FALSE),IF('Input Information'!$H$4="D",IFERROR(VLOOKUP(B5,'DISTILLATE MASTER SHEET'!$C$6:$H$49,4,FALSE),"For Residual Oil only")))</f>
        <v>A</v>
      </c>
      <c r="F5" s="159">
        <f>'Input Information'!$B$33</f>
        <v>0</v>
      </c>
      <c r="G5" s="160">
        <f>IF('Input Information'!$H$4="R", VLOOKUP(B5,'RESIDUAL MASTER SHEET'!$C$6:$H$45,6,FALSE)/1000,IF('Input Information'!$H$4="D",IFERROR(VLOOKUP(B5,'DISTILLATE MASTER SHEET'!$C$6:$H$49,6,FALSE)/1000,"For Residual Oil only")))</f>
        <v>0</v>
      </c>
      <c r="H5" s="161" t="s">
        <v>827</v>
      </c>
    </row>
    <row r="6" spans="1:8" s="162" customFormat="1" ht="15" customHeight="1">
      <c r="A6" s="163" t="s">
        <v>842</v>
      </c>
      <c r="B6" s="155" t="s">
        <v>53</v>
      </c>
      <c r="C6" s="156">
        <f>IF('Input Information'!$H$4="R", VLOOKUP(B6,'RESIDUAL MASTER SHEET'!$C$6:$H$45,3,FALSE),IF('Input Information'!$H$4="D",IFERROR(VLOOKUP(B6,'DISTILLATE MASTER SHEET'!$C$6:$H$49,3,FALSE),"For Residual Oil only")))</f>
        <v>2.3965309214286368</v>
      </c>
      <c r="D6" s="157" t="s">
        <v>834</v>
      </c>
      <c r="E6" s="158" t="str">
        <f>IF('Input Information'!$H$4="R", VLOOKUP(B6,'RESIDUAL MASTER SHEET'!$C$6:$H$45,4,FALSE),IF('Input Information'!$H$4="D",IFERROR(VLOOKUP(B6,'DISTILLATE MASTER SHEET'!$C$6:$H$49,4,FALSE),"For Residual Oil only")))</f>
        <v>A</v>
      </c>
      <c r="F6" s="159">
        <f>'Input Information'!$B$33</f>
        <v>0</v>
      </c>
      <c r="G6" s="160">
        <f>IF('Input Information'!$H$4="R", VLOOKUP(B6,'RESIDUAL MASTER SHEET'!$C$6:$H$45,6,FALSE)/1000,IF('Input Information'!$H$4="D",IFERROR(VLOOKUP(B6,'DISTILLATE MASTER SHEET'!$C$6:$H$49,6,FALSE)/1000,"For Residual Oil only")))</f>
        <v>0</v>
      </c>
      <c r="H6" s="161" t="s">
        <v>827</v>
      </c>
    </row>
    <row r="7" spans="1:8" s="162" customFormat="1" ht="15" customHeight="1">
      <c r="A7" s="163" t="s">
        <v>831</v>
      </c>
      <c r="B7" s="155" t="s">
        <v>51</v>
      </c>
      <c r="C7" s="156">
        <f>IF('Input Information'!$H$4="R", VLOOKUP(B7,'RESIDUAL MASTER SHEET'!$C$6:$H$45,3,FALSE),IF('Input Information'!$H$4="D",IFERROR(VLOOKUP(B7,'DISTILLATE MASTER SHEET'!$C$6:$H$49,3,FALSE),"For Residual Oil only")))</f>
        <v>2.3965309214286371E-2</v>
      </c>
      <c r="D7" s="157" t="s">
        <v>833</v>
      </c>
      <c r="E7" s="158" t="str">
        <f>IF('Input Information'!$H$4="R", VLOOKUP(B7,'RESIDUAL MASTER SHEET'!$C$6:$H$45,4,FALSE),IF('Input Information'!$H$4="D",IFERROR(VLOOKUP(B7,'DISTILLATE MASTER SHEET'!$C$6:$H$49,4,FALSE),"For Residual Oil only")))</f>
        <v>E</v>
      </c>
      <c r="F7" s="159">
        <f>'Input Information'!$B$33</f>
        <v>0</v>
      </c>
      <c r="G7" s="160">
        <f>IF('Input Information'!$H$4="R", VLOOKUP(B7,'RESIDUAL MASTER SHEET'!$C$6:$H$45,6,FALSE)/1000,IF('Input Information'!$H$4="D",IFERROR(VLOOKUP(B7,'DISTILLATE MASTER SHEET'!$C$6:$H$49,6,FALSE)/1000,"For Residual Oil only")))</f>
        <v>0</v>
      </c>
      <c r="H7" s="161" t="s">
        <v>827</v>
      </c>
    </row>
    <row r="8" spans="1:8" s="162" customFormat="1" ht="15" customHeight="1">
      <c r="A8" s="163" t="s">
        <v>830</v>
      </c>
      <c r="B8" s="155" t="s">
        <v>57</v>
      </c>
      <c r="C8" s="156">
        <f>IF('Input Information'!$H$4="R", VLOOKUP(B8,'RESIDUAL MASTER SHEET'!$C$6:$H$45,3,FALSE),IF('Input Information'!$H$4="D",IFERROR(VLOOKUP(B8,'DISTILLATE MASTER SHEET'!$C$6:$H$49,3,FALSE),"For Residual Oil only")))</f>
        <v>0.23965309214286368</v>
      </c>
      <c r="D8" s="157" t="s">
        <v>833</v>
      </c>
      <c r="E8" s="158" t="str">
        <f>IF('Input Information'!$H$4="R", VLOOKUP(B8,'RESIDUAL MASTER SHEET'!$C$6:$H$45,4,FALSE),IF('Input Information'!$H$4="D",IFERROR(VLOOKUP(B8,'DISTILLATE MASTER SHEET'!$C$6:$H$49,4,FALSE),"For Residual Oil only")))</f>
        <v>A</v>
      </c>
      <c r="F8" s="159">
        <f>'Input Information'!$B$33</f>
        <v>0</v>
      </c>
      <c r="G8" s="160">
        <f>IF('Input Information'!$H$4="R", VLOOKUP(B8,'RESIDUAL MASTER SHEET'!$C$6:$H$45,6,FALSE)/1000,IF('Input Information'!$H$4="D",IFERROR(VLOOKUP(B8,'DISTILLATE MASTER SHEET'!$C$6:$H$49,6,FALSE)/1000,"For Residual Oil only")))</f>
        <v>0</v>
      </c>
      <c r="H8" s="161" t="s">
        <v>827</v>
      </c>
    </row>
    <row r="9" spans="1:8" s="162" customFormat="1" ht="15" customHeight="1">
      <c r="A9" s="164" t="s">
        <v>843</v>
      </c>
      <c r="B9" s="155" t="s">
        <v>49</v>
      </c>
      <c r="C9" s="156">
        <f>IF('Input Information'!$H$4="R", VLOOKUP(B9,'RESIDUAL MASTER SHEET'!$C$6:$H$45,3,FALSE),IF('Input Information'!$H$4="D",IFERROR(VLOOKUP(B9,'DISTILLATE MASTER SHEET'!$C$6:$H$49,3,FALSE),"For Residual Oil only")))</f>
        <v>0.11982654607143184</v>
      </c>
      <c r="D9" s="157" t="s">
        <v>833</v>
      </c>
      <c r="E9" s="158" t="str">
        <f>IF('Input Information'!$H$4="R", VLOOKUP(B9,'RESIDUAL MASTER SHEET'!$C$6:$H$45,4,FALSE),IF('Input Information'!$H$4="D",IFERROR(VLOOKUP(B9,'DISTILLATE MASTER SHEET'!$C$6:$H$49,4,FALSE),"For Residual Oil only")))</f>
        <v>E</v>
      </c>
      <c r="F9" s="159">
        <f>'Input Information'!$B$33</f>
        <v>0</v>
      </c>
      <c r="G9" s="160">
        <f>IF('Input Information'!$H$4="R", VLOOKUP(B9,'RESIDUAL MASTER SHEET'!$C$6:$H$45,6,FALSE)/1000,IF('Input Information'!$H$4="D",IFERROR(VLOOKUP(B9,'DISTILLATE MASTER SHEET'!$C$6:$H$49,6,FALSE)/1000,"For Residual Oil only")))</f>
        <v>0</v>
      </c>
      <c r="H9" s="161" t="s">
        <v>827</v>
      </c>
    </row>
    <row r="10" spans="1:8" s="162" customFormat="1" ht="15" customHeight="1">
      <c r="A10" s="164" t="s">
        <v>844</v>
      </c>
      <c r="B10" s="155" t="s">
        <v>50</v>
      </c>
      <c r="C10" s="156">
        <f>IF('Input Information'!$H$4="R", VLOOKUP(B10,'RESIDUAL MASTER SHEET'!$C$6:$H$45,3,FALSE),IF('Input Information'!$H$4="D",IFERROR(VLOOKUP(B10,'DISTILLATE MASTER SHEET'!$C$6:$H$49,3,FALSE),"For Residual Oil only")))</f>
        <v>2.995663651785796E-2</v>
      </c>
      <c r="D10" s="157" t="s">
        <v>833</v>
      </c>
      <c r="E10" s="158" t="str">
        <f>IF('Input Information'!$H$4="R", VLOOKUP(B10,'RESIDUAL MASTER SHEET'!$C$6:$H$45,4,FALSE),IF('Input Information'!$H$4="D",IFERROR(VLOOKUP(B10,'DISTILLATE MASTER SHEET'!$C$6:$H$49,4,FALSE),"For Residual Oil only")))</f>
        <v>E</v>
      </c>
      <c r="F10" s="159">
        <f>'Input Information'!$B$33</f>
        <v>0</v>
      </c>
      <c r="G10" s="160">
        <f>IF('Input Information'!$H$4="R", VLOOKUP(B10,'RESIDUAL MASTER SHEET'!$C$6:$H$45,6,FALSE)/1000,IF('Input Information'!$H$4="D",IFERROR(VLOOKUP(B10,'DISTILLATE MASTER SHEET'!$C$6:$H$49,6,FALSE)/1000,"For Residual Oil only")))</f>
        <v>0</v>
      </c>
      <c r="H10" s="161" t="s">
        <v>827</v>
      </c>
    </row>
    <row r="11" spans="1:8" ht="6" customHeight="1">
      <c r="A11" s="119"/>
      <c r="B11" s="147"/>
      <c r="C11" s="147"/>
      <c r="D11" s="147"/>
      <c r="E11" s="147"/>
      <c r="F11" s="147"/>
      <c r="G11" s="147"/>
      <c r="H11" s="147"/>
    </row>
    <row r="12" spans="1:8">
      <c r="A12" s="119" t="s">
        <v>884</v>
      </c>
    </row>
  </sheetData>
  <sheetProtection algorithmName="SHA-512" hashValue="4ghG7VX6KECGhLHk8op7392OnxVlUHN+oPgPO0ZuQ1IJUlCghHlxVrgGBTjyrCkoabXvY4OJ3Xe0gwBmm/vsWw==" saltValue="v3hHy3xuCOwZHZDKxZpwaQ==" spinCount="100000" sheet="1" objects="1" scenarios="1" selectLockedCells="1" selectUnlockedCells="1"/>
  <phoneticPr fontId="29" type="noConversion"/>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9"/>
  <sheetViews>
    <sheetView zoomScale="115" zoomScaleNormal="115" workbookViewId="0">
      <selection activeCell="I1" sqref="I1"/>
    </sheetView>
  </sheetViews>
  <sheetFormatPr defaultColWidth="9.5703125" defaultRowHeight="12.75"/>
  <cols>
    <col min="1" max="1" width="26.42578125" style="106" customWidth="1"/>
    <col min="2" max="2" width="14.28515625" style="106" bestFit="1" customWidth="1"/>
    <col min="3" max="3" width="20.28515625" style="106" customWidth="1"/>
    <col min="4" max="4" width="10.85546875" style="106" bestFit="1" customWidth="1"/>
    <col min="5" max="5" width="11.42578125" style="106" bestFit="1" customWidth="1"/>
    <col min="6" max="6" width="30.42578125" style="106" bestFit="1" customWidth="1"/>
    <col min="7" max="7" width="15.85546875" style="106" bestFit="1" customWidth="1"/>
    <col min="8" max="8" width="10.7109375" style="106" customWidth="1"/>
    <col min="9" max="16384" width="9.5703125" style="106"/>
  </cols>
  <sheetData>
    <row r="1" spans="1:8">
      <c r="A1" s="150" t="s">
        <v>808</v>
      </c>
      <c r="H1" s="112"/>
    </row>
    <row r="2" spans="1:8">
      <c r="H2" s="112"/>
    </row>
    <row r="3" spans="1:8" s="152" customFormat="1" ht="17.45" customHeight="1">
      <c r="A3" s="151" t="s">
        <v>802</v>
      </c>
      <c r="B3" s="114" t="s">
        <v>803</v>
      </c>
      <c r="C3" s="114" t="s">
        <v>882</v>
      </c>
      <c r="D3" s="114" t="s">
        <v>883</v>
      </c>
      <c r="E3" s="114" t="s">
        <v>804</v>
      </c>
      <c r="F3" s="114" t="s">
        <v>805</v>
      </c>
      <c r="G3" s="114" t="s">
        <v>813</v>
      </c>
      <c r="H3" s="114" t="s">
        <v>806</v>
      </c>
    </row>
    <row r="4" spans="1:8" s="152" customFormat="1" ht="17.45" customHeight="1">
      <c r="A4" s="153" t="s">
        <v>28</v>
      </c>
      <c r="B4" s="108" t="s">
        <v>29</v>
      </c>
      <c r="C4" s="143">
        <f>IF('Input Information'!$H$4="R", VLOOKUP(B4,'RESIDUAL MASTER SHEET'!$C$6:$H$45,3,FALSE),IF('Input Information'!$H$4="D",IFERROR(VLOOKUP(B4,'DISTILLATE MASTER SHEET'!$C$6:$H$49,3,FALSE),"For Residual Oil only")))</f>
        <v>2.5642880859286414E-5</v>
      </c>
      <c r="D4" s="123" t="s">
        <v>825</v>
      </c>
      <c r="E4" s="144" t="str">
        <f>IF('Input Information'!$H$4="R", VLOOKUP(B4,'RESIDUAL MASTER SHEET'!$C$6:$H$45,4,FALSE),IF('Input Information'!$H$4="D",IFERROR(VLOOKUP(B4,'DISTILLATE MASTER SHEET'!$C$6:$H$49,4,FALSE),"For Residual Oil only")))</f>
        <v>C</v>
      </c>
      <c r="F4" s="145">
        <f>'Input Information'!$B$33</f>
        <v>0</v>
      </c>
      <c r="G4" s="118">
        <f>IF('Input Information'!$H$4="R", VLOOKUP(B4,'RESIDUAL MASTER SHEET'!$C$6:$H$45,6,FALSE)/1000,IF('Input Information'!$H$4="D",IFERROR(VLOOKUP(B4,'DISTILLATE MASTER SHEET'!$C$6:$H$49,6,FALSE)/1000,"For Residual Oil only")))</f>
        <v>0</v>
      </c>
      <c r="H4" s="146" t="s">
        <v>827</v>
      </c>
    </row>
    <row r="5" spans="1:8" s="152" customFormat="1" ht="17.45" customHeight="1">
      <c r="A5" s="153" t="s">
        <v>31</v>
      </c>
      <c r="B5" s="108" t="s">
        <v>32</v>
      </c>
      <c r="C5" s="143">
        <f>IF('Input Information'!$H$4="R", VLOOKUP(B5,'RESIDUAL MASTER SHEET'!$C$6:$H$45,3,FALSE),IF('Input Information'!$H$4="D",IFERROR(VLOOKUP(B5,'DISTILLATE MASTER SHEET'!$C$6:$H$49,3,FALSE),"For Residual Oil only")))</f>
        <v>5.7516742114287287E-3</v>
      </c>
      <c r="D5" s="123" t="s">
        <v>825</v>
      </c>
      <c r="E5" s="144" t="str">
        <f>IF('Input Information'!$H$4="R", VLOOKUP(B5,'RESIDUAL MASTER SHEET'!$C$6:$H$45,4,FALSE),IF('Input Information'!$H$4="D",IFERROR(VLOOKUP(B5,'DISTILLATE MASTER SHEET'!$C$6:$H$49,4,FALSE),"For Residual Oil only")))</f>
        <v>E</v>
      </c>
      <c r="F5" s="145">
        <f>'Input Information'!$B$33</f>
        <v>0</v>
      </c>
      <c r="G5" s="118">
        <f>IF('Input Information'!$H$4="R", VLOOKUP(B5,'RESIDUAL MASTER SHEET'!$C$6:$H$45,6,FALSE)/1000,IF('Input Information'!$H$4="D",IFERROR(VLOOKUP(B5,'DISTILLATE MASTER SHEET'!$C$6:$H$49,6,FALSE)/1000,"For Residual Oil only")))</f>
        <v>0</v>
      </c>
      <c r="H5" s="146" t="s">
        <v>827</v>
      </c>
    </row>
    <row r="6" spans="1:8" s="152" customFormat="1" ht="17.45" customHeight="1">
      <c r="A6" s="153" t="s">
        <v>84</v>
      </c>
      <c r="B6" s="108" t="s">
        <v>85</v>
      </c>
      <c r="C6" s="143">
        <f>IF('Input Information'!$H$4="R", VLOOKUP(B6,'RESIDUAL MASTER SHEET'!$C$6:$H$45,3,FALSE),IF('Input Information'!$H$4="D",IFERROR(VLOOKUP(B6,'DISTILLATE MASTER SHEET'!$C$6:$H$49,3,FALSE),"For Residual Oil only")))</f>
        <v>7.4292458564287735E-4</v>
      </c>
      <c r="D6" s="123" t="s">
        <v>825</v>
      </c>
      <c r="E6" s="144" t="str">
        <f>IF('Input Information'!$H$4="R", VLOOKUP(B6,'RESIDUAL MASTER SHEET'!$C$6:$H$45,4,FALSE),IF('Input Information'!$H$4="D",IFERROR(VLOOKUP(B6,'DISTILLATE MASTER SHEET'!$C$6:$H$49,4,FALSE),"For Residual Oil only")))</f>
        <v>D</v>
      </c>
      <c r="F6" s="145">
        <f>'Input Information'!$B$33</f>
        <v>0</v>
      </c>
      <c r="G6" s="118">
        <f>IF('Input Information'!$H$4="R", VLOOKUP(B6,'RESIDUAL MASTER SHEET'!$C$6:$H$45,6,FALSE)/1000,IF('Input Information'!$H$4="D",IFERROR(VLOOKUP(B6,'DISTILLATE MASTER SHEET'!$C$6:$H$49,6,FALSE)/1000,"For Residual Oil only")))</f>
        <v>0</v>
      </c>
      <c r="H6" s="146" t="s">
        <v>827</v>
      </c>
    </row>
    <row r="7" spans="1:8" s="152" customFormat="1" ht="17.45" customHeight="1">
      <c r="A7" s="153" t="s">
        <v>829</v>
      </c>
      <c r="B7" s="108" t="s">
        <v>86</v>
      </c>
      <c r="C7" s="143">
        <f>IF('Input Information'!$H$4="R", VLOOKUP(B7,'RESIDUAL MASTER SHEET'!$C$6:$H$45,3,FALSE),IF('Input Information'!$H$4="D",IFERROR(VLOOKUP(B7,'DISTILLATE MASTER SHEET'!$C$6:$H$49,3,FALSE),"For Residual Oil only")))</f>
        <v>1.3061093521786072E-5</v>
      </c>
      <c r="D7" s="123" t="s">
        <v>825</v>
      </c>
      <c r="E7" s="144" t="str">
        <f>IF('Input Information'!$H$4="R", VLOOKUP(B7,'RESIDUAL MASTER SHEET'!$C$6:$H$45,4,FALSE),IF('Input Information'!$H$4="D",IFERROR(VLOOKUP(B7,'DISTILLATE MASTER SHEET'!$C$6:$H$49,4,FALSE),"For Residual Oil only")))</f>
        <v>E</v>
      </c>
      <c r="F7" s="145">
        <f>'Input Information'!$B$33</f>
        <v>0</v>
      </c>
      <c r="G7" s="118">
        <f>IF('Input Information'!$H$4="R", VLOOKUP(B7,'RESIDUAL MASTER SHEET'!$C$6:$H$45,6,FALSE)/1000,IF('Input Information'!$H$4="D",IFERROR(VLOOKUP(B7,'DISTILLATE MASTER SHEET'!$C$6:$H$49,6,FALSE)/1000,"For Residual Oil only")))</f>
        <v>0</v>
      </c>
      <c r="H7" s="146" t="s">
        <v>827</v>
      </c>
    </row>
    <row r="8" spans="1:8" s="152" customFormat="1" ht="6" customHeight="1">
      <c r="A8" s="154"/>
      <c r="B8" s="127"/>
      <c r="C8" s="147"/>
      <c r="D8" s="147"/>
      <c r="E8" s="147"/>
      <c r="F8" s="147"/>
      <c r="G8" s="147"/>
      <c r="H8" s="147"/>
    </row>
    <row r="9" spans="1:8">
      <c r="A9" s="119" t="s">
        <v>884</v>
      </c>
    </row>
  </sheetData>
  <sheetProtection algorithmName="SHA-512" hashValue="XQypns9NwXKT1ITnjU+diJ9o9PPedPUVQd0RWJAhLvsEkaHqMME9rwH8H0fqu/e9KpITrISrO7VfUw+CSJO7pw==" saltValue="u7KX4wdWhwsc/A1Q/dt6Sg==" spinCount="100000" sheet="1" objects="1" scenarios="1" selectLockedCells="1" selectUnlockedCells="1"/>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15" zoomScaleNormal="115" workbookViewId="0">
      <selection activeCell="A5" sqref="A5"/>
    </sheetView>
  </sheetViews>
  <sheetFormatPr defaultColWidth="9.5703125" defaultRowHeight="12.75"/>
  <cols>
    <col min="1" max="1" width="25.5703125" style="106" customWidth="1"/>
    <col min="2" max="2" width="12" style="106" customWidth="1"/>
    <col min="3" max="3" width="10.28515625" style="106" bestFit="1" customWidth="1"/>
    <col min="4" max="4" width="19.5703125" style="106" bestFit="1" customWidth="1"/>
    <col min="5" max="5" width="10" style="106" customWidth="1"/>
    <col min="6" max="6" width="10.42578125" style="106" customWidth="1"/>
    <col min="7" max="7" width="26" style="106" customWidth="1"/>
    <col min="8" max="8" width="16" style="106" customWidth="1"/>
    <col min="9" max="9" width="13.140625" style="106" customWidth="1"/>
    <col min="10" max="10" width="9.85546875" style="106" customWidth="1"/>
    <col min="11" max="16384" width="9.5703125" style="106"/>
  </cols>
  <sheetData>
    <row r="1" spans="1:10">
      <c r="A1" s="150" t="s">
        <v>874</v>
      </c>
      <c r="B1" s="150"/>
      <c r="C1" s="150"/>
      <c r="D1" s="150"/>
      <c r="E1" s="150"/>
      <c r="J1" s="112"/>
    </row>
    <row r="2" spans="1:10" ht="8.25" customHeight="1">
      <c r="A2" s="150"/>
      <c r="B2" s="150"/>
      <c r="C2" s="150"/>
      <c r="D2" s="150"/>
      <c r="E2" s="150"/>
      <c r="J2" s="112"/>
    </row>
    <row r="3" spans="1:10">
      <c r="A3" s="119" t="s">
        <v>886</v>
      </c>
      <c r="B3" s="150"/>
      <c r="C3" s="150"/>
      <c r="D3" s="150"/>
      <c r="E3" s="150"/>
      <c r="J3" s="112"/>
    </row>
    <row r="4" spans="1:10" ht="9.75" customHeight="1">
      <c r="J4" s="112"/>
    </row>
    <row r="5" spans="1:10" ht="15" customHeight="1">
      <c r="A5" s="94" t="s">
        <v>802</v>
      </c>
      <c r="B5" s="114" t="s">
        <v>803</v>
      </c>
      <c r="C5" s="114" t="s">
        <v>885</v>
      </c>
      <c r="D5" s="114" t="s">
        <v>882</v>
      </c>
      <c r="E5" s="114" t="s">
        <v>883</v>
      </c>
      <c r="F5" s="114" t="s">
        <v>804</v>
      </c>
      <c r="G5" s="114" t="s">
        <v>805</v>
      </c>
      <c r="H5" s="114" t="s">
        <v>875</v>
      </c>
      <c r="I5" s="114" t="s">
        <v>813</v>
      </c>
      <c r="J5" s="114" t="s">
        <v>806</v>
      </c>
    </row>
    <row r="6" spans="1:10" ht="15" customHeight="1">
      <c r="A6" s="272"/>
      <c r="B6" s="273"/>
      <c r="C6" s="273"/>
      <c r="D6" s="274"/>
      <c r="E6" s="275"/>
      <c r="F6" s="273"/>
      <c r="G6" s="117">
        <f>'Input Information'!$B$33</f>
        <v>0</v>
      </c>
      <c r="H6" s="248" t="s">
        <v>817</v>
      </c>
      <c r="I6" s="276"/>
      <c r="J6" s="275"/>
    </row>
    <row r="7" spans="1:10" ht="15" customHeight="1">
      <c r="A7" s="272"/>
      <c r="B7" s="273"/>
      <c r="C7" s="273"/>
      <c r="D7" s="274"/>
      <c r="E7" s="275"/>
      <c r="F7" s="273"/>
      <c r="G7" s="117">
        <f>'Input Information'!$B$33</f>
        <v>0</v>
      </c>
      <c r="H7" s="248" t="s">
        <v>817</v>
      </c>
      <c r="I7" s="276"/>
      <c r="J7" s="275"/>
    </row>
    <row r="8" spans="1:10" ht="15" customHeight="1">
      <c r="A8" s="272"/>
      <c r="B8" s="273"/>
      <c r="C8" s="273"/>
      <c r="D8" s="274"/>
      <c r="E8" s="275"/>
      <c r="F8" s="273"/>
      <c r="G8" s="117">
        <f>'Input Information'!$B$33</f>
        <v>0</v>
      </c>
      <c r="H8" s="248" t="s">
        <v>817</v>
      </c>
      <c r="I8" s="276"/>
      <c r="J8" s="275"/>
    </row>
    <row r="9" spans="1:10" ht="15" customHeight="1">
      <c r="A9" s="272"/>
      <c r="B9" s="273"/>
      <c r="C9" s="273"/>
      <c r="D9" s="274"/>
      <c r="E9" s="275"/>
      <c r="F9" s="273"/>
      <c r="G9" s="117">
        <f>'Input Information'!$B$33</f>
        <v>0</v>
      </c>
      <c r="H9" s="248" t="s">
        <v>817</v>
      </c>
      <c r="I9" s="276"/>
      <c r="J9" s="275"/>
    </row>
    <row r="10" spans="1:10" ht="15" customHeight="1">
      <c r="A10" s="272"/>
      <c r="B10" s="273"/>
      <c r="C10" s="273"/>
      <c r="D10" s="274"/>
      <c r="E10" s="275"/>
      <c r="F10" s="273"/>
      <c r="G10" s="117">
        <f>'Input Information'!$B$33</f>
        <v>0</v>
      </c>
      <c r="H10" s="248" t="s">
        <v>817</v>
      </c>
      <c r="I10" s="276"/>
      <c r="J10" s="275"/>
    </row>
    <row r="11" spans="1:10" ht="6" customHeight="1">
      <c r="A11" s="119"/>
      <c r="B11" s="120"/>
      <c r="C11" s="120"/>
      <c r="D11" s="120"/>
      <c r="E11" s="120"/>
      <c r="F11" s="120"/>
      <c r="G11" s="120"/>
      <c r="H11" s="120"/>
      <c r="I11" s="120"/>
      <c r="J11" s="120"/>
    </row>
    <row r="12" spans="1:10" ht="6" customHeight="1">
      <c r="A12" s="119"/>
      <c r="B12" s="120"/>
      <c r="C12" s="120"/>
      <c r="D12" s="120"/>
      <c r="E12" s="120"/>
      <c r="F12" s="120"/>
      <c r="G12" s="120"/>
      <c r="H12" s="120"/>
      <c r="I12" s="120"/>
      <c r="J12" s="120"/>
    </row>
    <row r="13" spans="1:10">
      <c r="A13" s="119" t="s">
        <v>884</v>
      </c>
    </row>
  </sheetData>
  <sheetProtection algorithmName="SHA-512" hashValue="hd6jGozm9hf4xtopFN+R56QRLqvm/fydJo30yBJD1Oiof5KOdzJOZdNQfUvdZ9QTF2Gx4EbnD4qZvTQEjvlpEQ==" saltValue="LmJ9DwBfw5ObaI23BQ4GJw==" spinCount="100000" sheet="1" objects="1" scenarios="1"/>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
  <sheetViews>
    <sheetView zoomScaleNormal="100" workbookViewId="0">
      <selection activeCell="M1" sqref="M1"/>
    </sheetView>
  </sheetViews>
  <sheetFormatPr defaultColWidth="9.5703125" defaultRowHeight="14.25"/>
  <cols>
    <col min="1" max="1" width="1.5703125" style="184" customWidth="1"/>
    <col min="2" max="2" width="62.42578125" style="184" customWidth="1"/>
    <col min="3" max="5" width="22.7109375" style="184" customWidth="1"/>
    <col min="6" max="6" width="17.42578125" style="184" customWidth="1"/>
    <col min="7" max="7" width="21.42578125" style="184" customWidth="1"/>
    <col min="8" max="8" width="20.28515625" style="184" customWidth="1"/>
    <col min="9" max="9" width="3.7109375" style="184" customWidth="1"/>
    <col min="10" max="10" width="4.5703125" style="184" customWidth="1"/>
    <col min="11" max="11" width="11.28515625" style="184" customWidth="1"/>
    <col min="12" max="16384" width="9.5703125" style="184"/>
  </cols>
  <sheetData>
    <row r="2" spans="2:12" ht="26.25" customHeight="1">
      <c r="B2" s="183" t="s">
        <v>702</v>
      </c>
    </row>
    <row r="3" spans="2:12" ht="5.25" customHeight="1"/>
    <row r="4" spans="2:12" ht="36" customHeight="1">
      <c r="B4" s="308" t="s">
        <v>24</v>
      </c>
      <c r="C4" s="309" t="s">
        <v>803</v>
      </c>
      <c r="D4" s="310" t="s">
        <v>25</v>
      </c>
      <c r="E4" s="310"/>
      <c r="F4" s="311" t="s">
        <v>819</v>
      </c>
      <c r="G4" s="185" t="s">
        <v>766</v>
      </c>
      <c r="H4" s="185" t="s">
        <v>767</v>
      </c>
      <c r="K4" s="311" t="s">
        <v>93</v>
      </c>
      <c r="L4" s="311" t="s">
        <v>94</v>
      </c>
    </row>
    <row r="5" spans="2:12" ht="16.5">
      <c r="B5" s="308"/>
      <c r="C5" s="309"/>
      <c r="D5" s="195" t="s">
        <v>854</v>
      </c>
      <c r="E5" s="195" t="s">
        <v>855</v>
      </c>
      <c r="F5" s="312"/>
      <c r="G5" s="186" t="s">
        <v>26</v>
      </c>
      <c r="H5" s="187" t="s">
        <v>26</v>
      </c>
      <c r="K5" s="312"/>
      <c r="L5" s="312"/>
    </row>
    <row r="6" spans="2:12" ht="18.75">
      <c r="B6" s="188" t="s">
        <v>856</v>
      </c>
      <c r="C6" s="189" t="s">
        <v>52</v>
      </c>
      <c r="D6" s="190" t="str">
        <f>IF('Input Information'!$H$4="R",F56,"Distillate Master Sheet")</f>
        <v>Distillate Master Sheet</v>
      </c>
      <c r="E6" s="191" t="str">
        <f>IFERROR(D6*(264.172/2.20462/1000),"")</f>
        <v/>
      </c>
      <c r="F6" s="192" t="s">
        <v>821</v>
      </c>
      <c r="G6" s="193" t="str">
        <f>IF(E6="","",'Input Information'!$B$33*E6)</f>
        <v/>
      </c>
      <c r="H6" s="194" t="str">
        <f>IFERROR((1-('Input Information'!D59/100))*G6,"")</f>
        <v/>
      </c>
      <c r="K6" s="195">
        <f>IFERROR(VLOOKUP(C6,'NPRI List 2019'!$A$2:$F$327,5,FALSE),"")</f>
        <v>4</v>
      </c>
      <c r="L6" s="195" t="str">
        <f>IFERROR(VLOOKUP(C6,'NPRI List 2019'!$A$262:$F$327,5,FALSE),"")</f>
        <v/>
      </c>
    </row>
    <row r="7" spans="2:12" ht="18.75">
      <c r="B7" s="188" t="s">
        <v>857</v>
      </c>
      <c r="C7" s="189" t="s">
        <v>53</v>
      </c>
      <c r="D7" s="190" t="str">
        <f>IF('Input Information'!$H$4="R",F57,"Distillate Master Sheet")</f>
        <v>Distillate Master Sheet</v>
      </c>
      <c r="E7" s="191" t="str">
        <f t="shared" ref="E7:E12" si="0">IFERROR(D7*(264.172/2.20462/1000),"")</f>
        <v/>
      </c>
      <c r="F7" s="192" t="s">
        <v>821</v>
      </c>
      <c r="G7" s="193" t="str">
        <f>IF(E7="","",'Input Information'!$B$33*E7)</f>
        <v/>
      </c>
      <c r="H7" s="194" t="str">
        <f>IFERROR((1-('Input Information'!D55/100))*G7,"")</f>
        <v/>
      </c>
      <c r="K7" s="195">
        <f>IFERROR(VLOOKUP(C7,'NPRI List 2019'!$A$2:$F$327,5,FALSE),"")</f>
        <v>4</v>
      </c>
      <c r="L7" s="195" t="str">
        <f>IFERROR(VLOOKUP(C7,'NPRI List 2019'!$A$262:$F$327,5,FALSE),"")</f>
        <v/>
      </c>
    </row>
    <row r="8" spans="2:12" ht="15">
      <c r="B8" s="188" t="s">
        <v>832</v>
      </c>
      <c r="C8" s="189" t="s">
        <v>55</v>
      </c>
      <c r="D8" s="190" t="str">
        <f>IF('Input Information'!$H$4="R",F58,"Distillate Master Sheet")</f>
        <v>Distillate Master Sheet</v>
      </c>
      <c r="E8" s="191" t="str">
        <f t="shared" si="0"/>
        <v/>
      </c>
      <c r="F8" s="192" t="s">
        <v>821</v>
      </c>
      <c r="G8" s="193" t="str">
        <f>IF(E8="","",'Input Information'!$B$33*E8)</f>
        <v/>
      </c>
      <c r="H8" s="194" t="str">
        <f>IFERROR((1-('Input Information'!D63/100))*G8,"")</f>
        <v/>
      </c>
      <c r="K8" s="195">
        <f>IFERROR(VLOOKUP(C8,'NPRI List 2019'!$A$2:$F$327,5,FALSE),"")</f>
        <v>4</v>
      </c>
      <c r="L8" s="195" t="str">
        <f>IFERROR(VLOOKUP(C8,'NPRI List 2019'!$A$262:$F$327,5,FALSE),"")</f>
        <v/>
      </c>
    </row>
    <row r="9" spans="2:12" ht="15">
      <c r="B9" s="188" t="s">
        <v>830</v>
      </c>
      <c r="C9" s="189" t="s">
        <v>57</v>
      </c>
      <c r="D9" s="190" t="str">
        <f>IF('Input Information'!$H$4="R",F59,"Distillate Master Sheet")</f>
        <v>Distillate Master Sheet</v>
      </c>
      <c r="E9" s="191" t="str">
        <f t="shared" si="0"/>
        <v/>
      </c>
      <c r="F9" s="196" t="str">
        <f>F60</f>
        <v>B</v>
      </c>
      <c r="G9" s="193" t="str">
        <f>IF(E9="","",'Input Information'!$B$33*E9)</f>
        <v/>
      </c>
      <c r="H9" s="194" t="str">
        <f>IFERROR((1-('Input Information'!$D$67/100))*G9,"")</f>
        <v/>
      </c>
      <c r="K9" s="195">
        <f>IFERROR(VLOOKUP(C9,'NPRI List 2019'!$A$2:$F$327,5,FALSE),"")</f>
        <v>4</v>
      </c>
      <c r="L9" s="195" t="str">
        <f>IFERROR(VLOOKUP(C9,'NPRI List 2019'!$A$262:$F$327,5,FALSE),"")</f>
        <v/>
      </c>
    </row>
    <row r="10" spans="2:12" ht="18.75">
      <c r="B10" s="197" t="s">
        <v>858</v>
      </c>
      <c r="C10" s="198" t="s">
        <v>49</v>
      </c>
      <c r="D10" s="199" t="str">
        <f>IF('Input Information'!$H$4="R",G79,"Distillate Master Sheet")</f>
        <v>Distillate Master Sheet</v>
      </c>
      <c r="E10" s="191" t="str">
        <f t="shared" si="0"/>
        <v/>
      </c>
      <c r="F10" s="196" t="str">
        <f>G80</f>
        <v>D</v>
      </c>
      <c r="G10" s="193" t="str">
        <f>IF(E10="","",'Input Information'!$B$33*E10)</f>
        <v/>
      </c>
      <c r="H10" s="194" t="str">
        <f>IFERROR((1-('Input Information'!$D$67/100))*G10,"")</f>
        <v/>
      </c>
      <c r="K10" s="195">
        <f>IFERROR(VLOOKUP(C10,'NPRI List 2019'!$A$2:$F$327,5,FALSE),"")</f>
        <v>4</v>
      </c>
      <c r="L10" s="195" t="str">
        <f>IFERROR(VLOOKUP(C10,'NPRI List 2019'!$A$262:$F$327,5,FALSE),"")</f>
        <v/>
      </c>
    </row>
    <row r="11" spans="2:12" ht="18.75">
      <c r="B11" s="197" t="s">
        <v>859</v>
      </c>
      <c r="C11" s="198" t="s">
        <v>50</v>
      </c>
      <c r="D11" s="199" t="str">
        <f>IF('Input Information'!$H$4="R",G88,"Distillate Master Sheet")</f>
        <v>Distillate Master Sheet</v>
      </c>
      <c r="E11" s="191" t="str">
        <f t="shared" si="0"/>
        <v/>
      </c>
      <c r="F11" s="196" t="str">
        <f>G89</f>
        <v>D</v>
      </c>
      <c r="G11" s="193" t="str">
        <f>IF(E11="","",'Input Information'!$B$33*E11)</f>
        <v/>
      </c>
      <c r="H11" s="194" t="str">
        <f>IFERROR((1-('Input Information'!$D$67/100))*G11,"")</f>
        <v/>
      </c>
      <c r="K11" s="195">
        <f>IFERROR(VLOOKUP(C11,'NPRI List 2019'!$A$2:$F$327,5,FALSE),"")</f>
        <v>4</v>
      </c>
      <c r="L11" s="195" t="str">
        <f>IFERROR(VLOOKUP(C11,'NPRI List 2019'!$A$262:$F$327,5,FALSE),"")</f>
        <v/>
      </c>
    </row>
    <row r="12" spans="2:12" ht="15">
      <c r="B12" s="188" t="s">
        <v>831</v>
      </c>
      <c r="C12" s="200" t="s">
        <v>51</v>
      </c>
      <c r="D12" s="199" t="str">
        <f>IF('Input Information'!$H$4="R",G97,"Distillate Master Sheet")</f>
        <v>Distillate Master Sheet</v>
      </c>
      <c r="E12" s="191" t="str">
        <f t="shared" si="0"/>
        <v/>
      </c>
      <c r="F12" s="196" t="str">
        <f>G98</f>
        <v>A</v>
      </c>
      <c r="G12" s="193" t="str">
        <f>IF(E12="","",'Input Information'!$B$33*E12)</f>
        <v/>
      </c>
      <c r="H12" s="194" t="str">
        <f>G12</f>
        <v/>
      </c>
      <c r="K12" s="195">
        <f>IFERROR(VLOOKUP(C12,'NPRI List 2019'!$A$2:$F$327,5,FALSE),"")</f>
        <v>4</v>
      </c>
      <c r="L12" s="195" t="str">
        <f>IFERROR(VLOOKUP(C12,'NPRI List 2019'!$A$262:$F$327,5,FALSE),"")</f>
        <v/>
      </c>
    </row>
    <row r="13" spans="2:12" ht="15">
      <c r="B13" s="201" t="s">
        <v>58</v>
      </c>
      <c r="C13" s="198" t="s">
        <v>59</v>
      </c>
      <c r="D13" s="202">
        <v>1.22E-6</v>
      </c>
      <c r="E13" s="191">
        <f t="shared" ref="E13:E44" si="1">D13*(264.172/2.20462/1000)</f>
        <v>1.4618838620714684E-7</v>
      </c>
      <c r="F13" s="192" t="s">
        <v>720</v>
      </c>
      <c r="G13" s="193">
        <f>'Input Information'!$B$33*'RESIDUAL MASTER SHEET'!E13</f>
        <v>0</v>
      </c>
      <c r="H13" s="194">
        <f t="shared" ref="H13:H43" si="2">G13</f>
        <v>0</v>
      </c>
      <c r="K13" s="195">
        <f>IFERROR(VLOOKUP(C13,'NPRI List 2019'!$A$2:$F$327,5,FALSE),"")</f>
        <v>2</v>
      </c>
      <c r="L13" s="195" t="str">
        <f>IFERROR(VLOOKUP(C13,'NPRI List 2019'!$A$262:$F$327,5,FALSE),"")</f>
        <v/>
      </c>
    </row>
    <row r="14" spans="2:12" ht="15">
      <c r="B14" s="201" t="s">
        <v>130</v>
      </c>
      <c r="C14" s="203" t="s">
        <v>129</v>
      </c>
      <c r="D14" s="202">
        <v>5.2500000000000003E-3</v>
      </c>
      <c r="E14" s="191">
        <f t="shared" si="1"/>
        <v>6.2908936687501723E-4</v>
      </c>
      <c r="F14" s="192" t="s">
        <v>822</v>
      </c>
      <c r="G14" s="193">
        <f>'Input Information'!$B$33*'RESIDUAL MASTER SHEET'!E14</f>
        <v>0</v>
      </c>
      <c r="H14" s="194">
        <f>(1-('Input Information'!$D$67/100))*G14</f>
        <v>0</v>
      </c>
      <c r="K14" s="195" t="str">
        <f>IFERROR(VLOOKUP(C14,'NPRI List 2019'!$A$2:$F$327,5,FALSE),"")</f>
        <v>1A</v>
      </c>
      <c r="L14" s="195" t="str">
        <f>IFERROR(VLOOKUP(C14,'NPRI List 2019'!$A$262:$F$327,5,FALSE),"")</f>
        <v/>
      </c>
    </row>
    <row r="15" spans="2:12" ht="15">
      <c r="B15" s="201" t="s">
        <v>39</v>
      </c>
      <c r="C15" s="203" t="s">
        <v>40</v>
      </c>
      <c r="D15" s="202">
        <v>1.32E-3</v>
      </c>
      <c r="E15" s="191">
        <f t="shared" si="1"/>
        <v>1.5817104081429002E-4</v>
      </c>
      <c r="F15" s="192" t="s">
        <v>720</v>
      </c>
      <c r="G15" s="193">
        <f>'Input Information'!$B$33*'RESIDUAL MASTER SHEET'!E15</f>
        <v>0</v>
      </c>
      <c r="H15" s="194">
        <f>(1-('Input Information'!$D$67/100))*G15</f>
        <v>0</v>
      </c>
      <c r="K15" s="195" t="str">
        <f>IFERROR(VLOOKUP(C15,'NPRI List 2019'!$A$2:$F$327,5,FALSE),"")</f>
        <v>1B</v>
      </c>
      <c r="L15" s="195" t="str">
        <f>IFERROR(VLOOKUP(C15,'NPRI List 2019'!$A$262:$F$327,5,FALSE),"")</f>
        <v/>
      </c>
    </row>
    <row r="16" spans="2:12" ht="15">
      <c r="B16" s="201" t="s">
        <v>28</v>
      </c>
      <c r="C16" s="203" t="s">
        <v>29</v>
      </c>
      <c r="D16" s="202">
        <v>2.14E-4</v>
      </c>
      <c r="E16" s="191">
        <f t="shared" si="1"/>
        <v>2.5642880859286414E-5</v>
      </c>
      <c r="F16" s="192" t="s">
        <v>720</v>
      </c>
      <c r="G16" s="193">
        <f>'Input Information'!$B$33*'RESIDUAL MASTER SHEET'!E16</f>
        <v>0</v>
      </c>
      <c r="H16" s="194">
        <f t="shared" si="2"/>
        <v>0</v>
      </c>
      <c r="K16" s="195" t="str">
        <f>IFERROR(VLOOKUP(C16,'NPRI List 2019'!$A$2:$F$327,5,FALSE),"")</f>
        <v>1A</v>
      </c>
      <c r="L16" s="195">
        <f>IFERROR(VLOOKUP(C16,'NPRI List 2019'!$A$262:$F$327,5,FALSE),"")</f>
        <v>5</v>
      </c>
    </row>
    <row r="17" spans="2:12" ht="15">
      <c r="B17" s="201" t="s">
        <v>60</v>
      </c>
      <c r="C17" s="203" t="s">
        <v>61</v>
      </c>
      <c r="D17" s="202">
        <v>4.0099999999999997E-6</v>
      </c>
      <c r="E17" s="191">
        <f t="shared" si="1"/>
        <v>4.8050444974644168E-7</v>
      </c>
      <c r="F17" s="192" t="s">
        <v>720</v>
      </c>
      <c r="G17" s="193">
        <f>'Input Information'!$B$33*'RESIDUAL MASTER SHEET'!E17</f>
        <v>0</v>
      </c>
      <c r="H17" s="194">
        <f t="shared" si="2"/>
        <v>0</v>
      </c>
      <c r="K17" s="195">
        <f>IFERROR(VLOOKUP(C17,'NPRI List 2019'!$A$2:$F$327,5,FALSE),"")</f>
        <v>2</v>
      </c>
      <c r="L17" s="195" t="str">
        <f>IFERROR(VLOOKUP(C17,'NPRI List 2019'!$A$262:$F$327,5,FALSE),"")</f>
        <v/>
      </c>
    </row>
    <row r="18" spans="2:12" ht="15">
      <c r="B18" s="201" t="s">
        <v>706</v>
      </c>
      <c r="C18" s="203" t="s">
        <v>63</v>
      </c>
      <c r="D18" s="202">
        <v>2.3800000000000001E-6</v>
      </c>
      <c r="E18" s="191">
        <f t="shared" si="1"/>
        <v>2.851871796500078E-7</v>
      </c>
      <c r="F18" s="192" t="s">
        <v>720</v>
      </c>
      <c r="G18" s="193">
        <f>'Input Information'!$B$33*'RESIDUAL MASTER SHEET'!E18</f>
        <v>0</v>
      </c>
      <c r="H18" s="194">
        <f t="shared" si="2"/>
        <v>0</v>
      </c>
      <c r="K18" s="195">
        <f>IFERROR(VLOOKUP(C18,'NPRI List 2019'!$A$2:$F$327,5,FALSE),"")</f>
        <v>2</v>
      </c>
      <c r="L18" s="195" t="str">
        <f>IFERROR(VLOOKUP(C18,'NPRI List 2019'!$A$262:$F$327,5,FALSE),"")</f>
        <v/>
      </c>
    </row>
    <row r="19" spans="2:12" ht="15">
      <c r="B19" s="201" t="s">
        <v>64</v>
      </c>
      <c r="C19" s="203" t="s">
        <v>65</v>
      </c>
      <c r="D19" s="202">
        <v>1.48E-6</v>
      </c>
      <c r="E19" s="191">
        <f t="shared" si="1"/>
        <v>1.7734328818571913E-7</v>
      </c>
      <c r="F19" s="192" t="s">
        <v>720</v>
      </c>
      <c r="G19" s="193">
        <f>'Input Information'!$B$33*'RESIDUAL MASTER SHEET'!E19</f>
        <v>0</v>
      </c>
      <c r="H19" s="194">
        <f t="shared" si="2"/>
        <v>0</v>
      </c>
      <c r="K19" s="195">
        <f>IFERROR(VLOOKUP(C19,'NPRI List 2019'!$A$2:$F$327,5,FALSE),"")</f>
        <v>2</v>
      </c>
      <c r="L19" s="195" t="str">
        <f>IFERROR(VLOOKUP(C19,'NPRI List 2019'!$A$262:$F$327,5,FALSE),"")</f>
        <v/>
      </c>
    </row>
    <row r="20" spans="2:12" ht="15">
      <c r="B20" s="201" t="s">
        <v>66</v>
      </c>
      <c r="C20" s="203" t="s">
        <v>67</v>
      </c>
      <c r="D20" s="202">
        <v>2.26E-6</v>
      </c>
      <c r="E20" s="191">
        <f t="shared" si="1"/>
        <v>2.7080799412143594E-7</v>
      </c>
      <c r="F20" s="192" t="s">
        <v>720</v>
      </c>
      <c r="G20" s="193">
        <f>'Input Information'!$B$33*'RESIDUAL MASTER SHEET'!E20</f>
        <v>0</v>
      </c>
      <c r="H20" s="194">
        <f t="shared" si="2"/>
        <v>0</v>
      </c>
      <c r="K20" s="195">
        <f>IFERROR(VLOOKUP(C20,'NPRI List 2019'!$A$2:$F$327,5,FALSE),"")</f>
        <v>2</v>
      </c>
      <c r="L20" s="195" t="str">
        <f>IFERROR(VLOOKUP(C20,'NPRI List 2019'!$A$262:$F$327,5,FALSE),"")</f>
        <v/>
      </c>
    </row>
    <row r="21" spans="2:12" ht="15">
      <c r="B21" s="201" t="s">
        <v>707</v>
      </c>
      <c r="C21" s="203" t="s">
        <v>69</v>
      </c>
      <c r="D21" s="202">
        <v>1.48E-6</v>
      </c>
      <c r="E21" s="191">
        <f t="shared" si="1"/>
        <v>1.7734328818571913E-7</v>
      </c>
      <c r="F21" s="192" t="s">
        <v>720</v>
      </c>
      <c r="G21" s="193">
        <f>'Input Information'!$B$33*'RESIDUAL MASTER SHEET'!E21</f>
        <v>0</v>
      </c>
      <c r="H21" s="194">
        <f t="shared" si="2"/>
        <v>0</v>
      </c>
      <c r="K21" s="195">
        <f>IFERROR(VLOOKUP(C21,'NPRI List 2019'!$A$2:$F$327,5,FALSE),"")</f>
        <v>2</v>
      </c>
      <c r="L21" s="195" t="str">
        <f>IFERROR(VLOOKUP(C21,'NPRI List 2019'!$A$262:$F$327,5,FALSE),"")</f>
        <v/>
      </c>
    </row>
    <row r="22" spans="2:12" ht="15">
      <c r="B22" s="201" t="s">
        <v>41</v>
      </c>
      <c r="C22" s="203" t="s">
        <v>42</v>
      </c>
      <c r="D22" s="202">
        <v>3.9800000000000002E-4</v>
      </c>
      <c r="E22" s="191">
        <f t="shared" si="1"/>
        <v>4.7690965336429878E-5</v>
      </c>
      <c r="F22" s="192" t="s">
        <v>720</v>
      </c>
      <c r="G22" s="193">
        <f>'Input Information'!$B$33*'RESIDUAL MASTER SHEET'!E22</f>
        <v>0</v>
      </c>
      <c r="H22" s="194">
        <f>(1-('Input Information'!$D$67/100))*G22</f>
        <v>0</v>
      </c>
      <c r="K22" s="195" t="str">
        <f>IFERROR(VLOOKUP(C22,'NPRI List 2019'!$A$2:$F$327,5,FALSE),"")</f>
        <v>1B</v>
      </c>
      <c r="L22" s="195" t="str">
        <f>IFERROR(VLOOKUP(C22,'NPRI List 2019'!$A$262:$F$327,5,FALSE),"")</f>
        <v/>
      </c>
    </row>
    <row r="23" spans="2:12" ht="15">
      <c r="B23" s="201" t="s">
        <v>708</v>
      </c>
      <c r="C23" s="203" t="s">
        <v>30</v>
      </c>
      <c r="D23" s="202">
        <v>8.4500000000000005E-4</v>
      </c>
      <c r="E23" s="191">
        <f t="shared" si="1"/>
        <v>1.012534314303599E-4</v>
      </c>
      <c r="F23" s="192" t="s">
        <v>720</v>
      </c>
      <c r="G23" s="193">
        <f>'Input Information'!$B$33*'RESIDUAL MASTER SHEET'!E23</f>
        <v>0</v>
      </c>
      <c r="H23" s="194">
        <f>(1-('Input Information'!$D$67/100))*G23</f>
        <v>0</v>
      </c>
      <c r="K23" s="195" t="str">
        <f>IFERROR(VLOOKUP(C23,'NPRI List 2019'!$A$2:$F$327,5,FALSE),"")</f>
        <v>1A</v>
      </c>
      <c r="L23" s="195" t="str">
        <f>IFERROR(VLOOKUP(C23,'NPRI List 2019'!$A$262:$F$327,5,FALSE),"")</f>
        <v/>
      </c>
    </row>
    <row r="24" spans="2:12" ht="15">
      <c r="B24" s="201" t="s">
        <v>486</v>
      </c>
      <c r="C24" s="203" t="s">
        <v>485</v>
      </c>
      <c r="D24" s="190">
        <v>6.0200000000000002E-3</v>
      </c>
      <c r="E24" s="191">
        <f t="shared" si="1"/>
        <v>7.2135580735001965E-4</v>
      </c>
      <c r="F24" s="192" t="s">
        <v>755</v>
      </c>
      <c r="G24" s="193">
        <f>'Input Information'!$B$33*'RESIDUAL MASTER SHEET'!E24</f>
        <v>0</v>
      </c>
      <c r="H24" s="194">
        <f>(1-('Input Information'!$D$67/100))*G24</f>
        <v>0</v>
      </c>
      <c r="K24" s="195" t="str">
        <f>IFERROR(VLOOKUP(C24,'NPRI List 2019'!$A$2:$F$327,5,FALSE),"")</f>
        <v>1B</v>
      </c>
      <c r="L24" s="195" t="str">
        <f>IFERROR(VLOOKUP(C24,'NPRI List 2019'!$A$262:$F$327,5,FALSE),"")</f>
        <v/>
      </c>
    </row>
    <row r="25" spans="2:12" ht="15">
      <c r="B25" s="201" t="s">
        <v>89</v>
      </c>
      <c r="C25" s="203" t="s">
        <v>90</v>
      </c>
      <c r="D25" s="202">
        <v>1.7600000000000001E-3</v>
      </c>
      <c r="E25" s="191">
        <f t="shared" si="1"/>
        <v>2.1089472108572004E-4</v>
      </c>
      <c r="F25" s="192" t="s">
        <v>720</v>
      </c>
      <c r="G25" s="193">
        <f>'Input Information'!$B$33*'RESIDUAL MASTER SHEET'!E25</f>
        <v>0</v>
      </c>
      <c r="H25" s="194">
        <f>(1-('Input Information'!$D$67/100))*G25</f>
        <v>0</v>
      </c>
      <c r="K25" s="195" t="str">
        <f>IFERROR(VLOOKUP(C25,'NPRI List 2019'!$A$2:$F$327,5,FALSE),"")</f>
        <v>1A</v>
      </c>
      <c r="L25" s="195" t="str">
        <f>IFERROR(VLOOKUP(C25,'NPRI List 2019'!$A$262:$F$327,5,FALSE),"")</f>
        <v/>
      </c>
    </row>
    <row r="26" spans="2:12" ht="15">
      <c r="B26" s="201" t="s">
        <v>70</v>
      </c>
      <c r="C26" s="203" t="s">
        <v>71</v>
      </c>
      <c r="D26" s="202">
        <v>1.6700000000000001E-6</v>
      </c>
      <c r="E26" s="191">
        <f t="shared" si="1"/>
        <v>2.0011033193929119E-7</v>
      </c>
      <c r="F26" s="192" t="s">
        <v>755</v>
      </c>
      <c r="G26" s="193">
        <f>'Input Information'!$B$33*'RESIDUAL MASTER SHEET'!E26</f>
        <v>0</v>
      </c>
      <c r="H26" s="194">
        <f t="shared" si="2"/>
        <v>0</v>
      </c>
      <c r="K26" s="195">
        <f>IFERROR(VLOOKUP(C26,'NPRI List 2019'!$A$2:$F$327,5,FALSE),"")</f>
        <v>2</v>
      </c>
      <c r="L26" s="195" t="str">
        <f>IFERROR(VLOOKUP(C26,'NPRI List 2019'!$A$262:$F$327,5,FALSE),"")</f>
        <v/>
      </c>
    </row>
    <row r="27" spans="2:12" ht="15">
      <c r="B27" s="201" t="s">
        <v>72</v>
      </c>
      <c r="C27" s="203" t="s">
        <v>73</v>
      </c>
      <c r="D27" s="202">
        <v>6.3600000000000001E-5</v>
      </c>
      <c r="E27" s="191">
        <f t="shared" si="1"/>
        <v>7.6209683301430652E-6</v>
      </c>
      <c r="F27" s="192" t="s">
        <v>822</v>
      </c>
      <c r="G27" s="193">
        <f>'Input Information'!$B$33*'RESIDUAL MASTER SHEET'!E27</f>
        <v>0</v>
      </c>
      <c r="H27" s="194">
        <f t="shared" si="2"/>
        <v>0</v>
      </c>
      <c r="K27" s="195" t="str">
        <f>IFERROR(VLOOKUP(C27,'NPRI List 2019'!$A$2:$F$327,5,FALSE),"")</f>
        <v>1A</v>
      </c>
      <c r="L27" s="195" t="str">
        <f>IFERROR(VLOOKUP(C27,'NPRI List 2019'!$A$262:$F$327,5,FALSE),"")</f>
        <v/>
      </c>
    </row>
    <row r="28" spans="2:12" ht="15">
      <c r="B28" s="201" t="s">
        <v>74</v>
      </c>
      <c r="C28" s="203" t="s">
        <v>75</v>
      </c>
      <c r="D28" s="202">
        <v>4.8400000000000002E-6</v>
      </c>
      <c r="E28" s="191">
        <f t="shared" si="1"/>
        <v>5.7996048298573011E-7</v>
      </c>
      <c r="F28" s="192" t="s">
        <v>720</v>
      </c>
      <c r="G28" s="193">
        <f>'Input Information'!$B$33*'RESIDUAL MASTER SHEET'!E28</f>
        <v>0</v>
      </c>
      <c r="H28" s="194">
        <f t="shared" si="2"/>
        <v>0</v>
      </c>
      <c r="K28" s="195">
        <f>IFERROR(VLOOKUP(C28,'NPRI List 2019'!$A$2:$F$327,5,FALSE),"")</f>
        <v>2</v>
      </c>
      <c r="L28" s="195" t="str">
        <f>IFERROR(VLOOKUP(C28,'NPRI List 2019'!$A$262:$F$327,5,FALSE),"")</f>
        <v/>
      </c>
    </row>
    <row r="29" spans="2:12" ht="15">
      <c r="B29" s="201" t="s">
        <v>31</v>
      </c>
      <c r="C29" s="203" t="s">
        <v>32</v>
      </c>
      <c r="D29" s="202">
        <f>IF($F$66="U", 0.033,AVERAGE(0.024,0.061))</f>
        <v>4.2499999999999996E-2</v>
      </c>
      <c r="E29" s="191">
        <f t="shared" si="1"/>
        <v>5.0926282080358525E-3</v>
      </c>
      <c r="F29" s="192" t="s">
        <v>822</v>
      </c>
      <c r="G29" s="193">
        <f>'Input Information'!$B$33*'RESIDUAL MASTER SHEET'!E29</f>
        <v>0</v>
      </c>
      <c r="H29" s="194">
        <f t="shared" si="2"/>
        <v>0</v>
      </c>
      <c r="K29" s="195" t="str">
        <f>IFERROR(VLOOKUP(C29,'NPRI List 2019'!$A$2:$F$327,5,FALSE),"")</f>
        <v>1A</v>
      </c>
      <c r="L29" s="195">
        <f>IFERROR(VLOOKUP(C29,'NPRI List 2019'!$A$262:$F$327,5,FALSE),"")</f>
        <v>5</v>
      </c>
    </row>
    <row r="30" spans="2:12" ht="15">
      <c r="B30" s="201" t="s">
        <v>709</v>
      </c>
      <c r="C30" s="203" t="s">
        <v>487</v>
      </c>
      <c r="D30" s="202">
        <v>2.4800000000000001E-4</v>
      </c>
      <c r="E30" s="191">
        <f t="shared" si="1"/>
        <v>2.9716983425715097E-5</v>
      </c>
      <c r="F30" s="192" t="s">
        <v>720</v>
      </c>
      <c r="G30" s="193">
        <f>'Input Information'!$B$33*'RESIDUAL MASTER SHEET'!E30</f>
        <v>0</v>
      </c>
      <c r="H30" s="194">
        <f>(1-('Input Information'!$D$67/100))*G30</f>
        <v>0</v>
      </c>
      <c r="K30" s="195" t="str">
        <f>IFERROR(VLOOKUP(C30,'NPRI List 2019'!$A$2:$F$327,5,FALSE),"")</f>
        <v>1B</v>
      </c>
      <c r="L30" s="195" t="str">
        <f>IFERROR(VLOOKUP(C30,'NPRI List 2019'!$A$262:$F$327,5,FALSE),"")</f>
        <v/>
      </c>
    </row>
    <row r="31" spans="2:12" ht="15">
      <c r="B31" s="201" t="s">
        <v>76</v>
      </c>
      <c r="C31" s="203" t="s">
        <v>77</v>
      </c>
      <c r="D31" s="202">
        <v>2.1399999999999998E-6</v>
      </c>
      <c r="E31" s="191">
        <f t="shared" si="1"/>
        <v>2.5642880859286413E-7</v>
      </c>
      <c r="F31" s="192" t="s">
        <v>720</v>
      </c>
      <c r="G31" s="193">
        <f>'Input Information'!$B$33*'RESIDUAL MASTER SHEET'!E31</f>
        <v>0</v>
      </c>
      <c r="H31" s="194">
        <f t="shared" si="2"/>
        <v>0</v>
      </c>
      <c r="K31" s="195">
        <f>IFERROR(VLOOKUP(C31,'NPRI List 2019'!$A$2:$F$327,5,FALSE),"")</f>
        <v>2</v>
      </c>
      <c r="L31" s="195" t="str">
        <f>IFERROR(VLOOKUP(C31,'NPRI List 2019'!$A$262:$F$327,5,FALSE),"")</f>
        <v/>
      </c>
    </row>
    <row r="32" spans="2:12" ht="15">
      <c r="B32" s="201" t="s">
        <v>710</v>
      </c>
      <c r="C32" s="203" t="s">
        <v>44</v>
      </c>
      <c r="D32" s="202">
        <v>1.5100000000000001E-3</v>
      </c>
      <c r="E32" s="191">
        <f t="shared" si="1"/>
        <v>1.8093808456786208E-4</v>
      </c>
      <c r="F32" s="192" t="s">
        <v>720</v>
      </c>
      <c r="G32" s="193">
        <f>'Input Information'!$B$33*'RESIDUAL MASTER SHEET'!E32</f>
        <v>0</v>
      </c>
      <c r="H32" s="194">
        <f>(1-('Input Information'!$D$67/100))*G32</f>
        <v>0</v>
      </c>
      <c r="K32" s="195" t="str">
        <f>IFERROR(VLOOKUP(C32,'NPRI List 2019'!$A$2:$F$327,5,FALSE),"")</f>
        <v>1B</v>
      </c>
      <c r="L32" s="195" t="str">
        <f>IFERROR(VLOOKUP(C32,'NPRI List 2019'!$A$262:$F$327,5,FALSE),"")</f>
        <v/>
      </c>
    </row>
    <row r="33" spans="2:12" ht="15">
      <c r="B33" s="201" t="s">
        <v>33</v>
      </c>
      <c r="C33" s="203" t="s">
        <v>34</v>
      </c>
      <c r="D33" s="202">
        <v>3.0000000000000001E-3</v>
      </c>
      <c r="E33" s="191">
        <f t="shared" si="1"/>
        <v>3.5947963821429554E-4</v>
      </c>
      <c r="F33" s="192" t="s">
        <v>720</v>
      </c>
      <c r="G33" s="193">
        <f>'Input Information'!$B$33*'RESIDUAL MASTER SHEET'!E33</f>
        <v>0</v>
      </c>
      <c r="H33" s="194">
        <f>(1-('Input Information'!$D$67/100))*G33</f>
        <v>0</v>
      </c>
      <c r="K33" s="195" t="str">
        <f>IFERROR(VLOOKUP(C33,'NPRI List 2019'!$A$2:$F$327,5,FALSE),"")</f>
        <v>1A</v>
      </c>
      <c r="L33" s="195" t="str">
        <f>IFERROR(VLOOKUP(C33,'NPRI List 2019'!$A$262:$F$327,5,FALSE),"")</f>
        <v/>
      </c>
    </row>
    <row r="34" spans="2:12" ht="15">
      <c r="B34" s="201" t="s">
        <v>45</v>
      </c>
      <c r="C34" s="203" t="s">
        <v>46</v>
      </c>
      <c r="D34" s="202">
        <v>1.13E-4</v>
      </c>
      <c r="E34" s="191">
        <f t="shared" si="1"/>
        <v>1.3540399706071797E-5</v>
      </c>
      <c r="F34" s="192" t="s">
        <v>720</v>
      </c>
      <c r="G34" s="193">
        <f>'Input Information'!$B$33*'RESIDUAL MASTER SHEET'!E34</f>
        <v>0</v>
      </c>
      <c r="H34" s="194">
        <f>(1-('Input Information'!$D$67/100))*G34</f>
        <v>0</v>
      </c>
      <c r="K34" s="195" t="str">
        <f>IFERROR(VLOOKUP(C34,'NPRI List 2019'!$A$2:$F$327,5,FALSE),"")</f>
        <v>1B</v>
      </c>
      <c r="L34" s="195" t="str">
        <f>IFERROR(VLOOKUP(C34,'NPRI List 2019'!$A$262:$F$327,5,FALSE),"")</f>
        <v/>
      </c>
    </row>
    <row r="35" spans="2:12" ht="15">
      <c r="B35" s="201" t="s">
        <v>35</v>
      </c>
      <c r="C35" s="203" t="s">
        <v>36</v>
      </c>
      <c r="D35" s="202">
        <v>1.1299999999999999E-3</v>
      </c>
      <c r="E35" s="191">
        <f t="shared" si="1"/>
        <v>1.3540399706071796E-4</v>
      </c>
      <c r="F35" s="192" t="s">
        <v>720</v>
      </c>
      <c r="G35" s="193">
        <f>'Input Information'!$B$33*'RESIDUAL MASTER SHEET'!E35</f>
        <v>0</v>
      </c>
      <c r="H35" s="194">
        <f t="shared" si="2"/>
        <v>0</v>
      </c>
      <c r="K35" s="195" t="str">
        <f>IFERROR(VLOOKUP(C35,'NPRI List 2019'!$A$2:$F$327,5,FALSE),"")</f>
        <v>1A</v>
      </c>
      <c r="L35" s="195" t="str">
        <f>IFERROR(VLOOKUP(C35,'NPRI List 2019'!$A$262:$F$327,5,FALSE),"")</f>
        <v/>
      </c>
    </row>
    <row r="36" spans="2:12" ht="15">
      <c r="B36" s="201" t="s">
        <v>37</v>
      </c>
      <c r="C36" s="203" t="s">
        <v>38</v>
      </c>
      <c r="D36" s="202">
        <v>8.4500000000000006E-2</v>
      </c>
      <c r="E36" s="191">
        <f t="shared" si="1"/>
        <v>1.0125343143035991E-2</v>
      </c>
      <c r="F36" s="192" t="s">
        <v>720</v>
      </c>
      <c r="G36" s="193">
        <f>'Input Information'!$B$33*'RESIDUAL MASTER SHEET'!E36</f>
        <v>0</v>
      </c>
      <c r="H36" s="194">
        <f>(1-('Input Information'!$D$67/100))*G36</f>
        <v>0</v>
      </c>
      <c r="K36" s="195" t="str">
        <f>IFERROR(VLOOKUP(C36,'NPRI List 2019'!$A$2:$F$327,5,FALSE),"")</f>
        <v>1A</v>
      </c>
      <c r="L36" s="195" t="str">
        <f>IFERROR(VLOOKUP(C36,'NPRI List 2019'!$A$262:$F$327,5,FALSE),"")</f>
        <v/>
      </c>
    </row>
    <row r="37" spans="2:12" ht="15">
      <c r="B37" s="201" t="s">
        <v>78</v>
      </c>
      <c r="C37" s="203" t="s">
        <v>79</v>
      </c>
      <c r="D37" s="202">
        <v>3.1E-9</v>
      </c>
      <c r="E37" s="191">
        <f t="shared" si="1"/>
        <v>3.7146229282143872E-10</v>
      </c>
      <c r="F37" s="192" t="s">
        <v>822</v>
      </c>
      <c r="G37" s="193">
        <f>'Input Information'!$B$33*'RESIDUAL MASTER SHEET'!E37</f>
        <v>0</v>
      </c>
      <c r="H37" s="194">
        <f t="shared" si="2"/>
        <v>0</v>
      </c>
      <c r="K37" s="195">
        <f>IFERROR(VLOOKUP(C37,'NPRI List 2019'!$A$2:$F$327,5,FALSE),"")</f>
        <v>3</v>
      </c>
      <c r="L37" s="195" t="str">
        <f>IFERROR(VLOOKUP(C37,'NPRI List 2019'!$A$262:$F$327,5,FALSE),"")</f>
        <v/>
      </c>
    </row>
    <row r="38" spans="2:12" ht="15">
      <c r="B38" s="201" t="s">
        <v>80</v>
      </c>
      <c r="C38" s="203" t="s">
        <v>81</v>
      </c>
      <c r="D38" s="202">
        <v>1.0499999999999999E-5</v>
      </c>
      <c r="E38" s="191">
        <f t="shared" si="1"/>
        <v>1.2581787337500342E-6</v>
      </c>
      <c r="F38" s="192" t="s">
        <v>720</v>
      </c>
      <c r="G38" s="193">
        <f>'Input Information'!$B$33*'RESIDUAL MASTER SHEET'!E38</f>
        <v>0</v>
      </c>
      <c r="H38" s="194">
        <f t="shared" si="2"/>
        <v>0</v>
      </c>
      <c r="K38" s="195">
        <f>IFERROR(VLOOKUP(C38,'NPRI List 2019'!$A$2:$F$327,5,FALSE),"")</f>
        <v>2</v>
      </c>
      <c r="L38" s="195" t="str">
        <f>IFERROR(VLOOKUP(C38,'NPRI List 2019'!$A$262:$F$327,5,FALSE),"")</f>
        <v/>
      </c>
    </row>
    <row r="39" spans="2:12" ht="15">
      <c r="B39" s="201" t="s">
        <v>711</v>
      </c>
      <c r="C39" s="203" t="s">
        <v>412</v>
      </c>
      <c r="D39" s="202">
        <v>9.4599999999999997E-3</v>
      </c>
      <c r="E39" s="191">
        <f t="shared" si="1"/>
        <v>1.1335591258357452E-3</v>
      </c>
      <c r="F39" s="192" t="s">
        <v>755</v>
      </c>
      <c r="G39" s="193">
        <f>'Input Information'!$B$33*'RESIDUAL MASTER SHEET'!E39</f>
        <v>0</v>
      </c>
      <c r="H39" s="194">
        <f>(1-('Input Information'!$D$67/100))*G39</f>
        <v>0</v>
      </c>
      <c r="K39" s="195" t="str">
        <f>IFERROR(VLOOKUP(C39,'NPRI List 2019'!$A$2:$F$327,5,FALSE),"")</f>
        <v>1A</v>
      </c>
      <c r="L39" s="195" t="str">
        <f>IFERROR(VLOOKUP(C39,'NPRI List 2019'!$A$262:$F$327,5,FALSE),"")</f>
        <v/>
      </c>
    </row>
    <row r="40" spans="2:12" ht="15">
      <c r="B40" s="201" t="s">
        <v>82</v>
      </c>
      <c r="C40" s="203" t="s">
        <v>83</v>
      </c>
      <c r="D40" s="202">
        <v>4.25E-6</v>
      </c>
      <c r="E40" s="191">
        <f t="shared" si="1"/>
        <v>5.092628208035853E-7</v>
      </c>
      <c r="F40" s="192" t="s">
        <v>720</v>
      </c>
      <c r="G40" s="193">
        <f>'Input Information'!$B$33*'RESIDUAL MASTER SHEET'!E40</f>
        <v>0</v>
      </c>
      <c r="H40" s="194">
        <f t="shared" si="2"/>
        <v>0</v>
      </c>
      <c r="K40" s="195">
        <f>IFERROR(VLOOKUP(C40,'NPRI List 2019'!$A$2:$F$327,5,FALSE),"")</f>
        <v>2</v>
      </c>
      <c r="L40" s="195" t="str">
        <f>IFERROR(VLOOKUP(C40,'NPRI List 2019'!$A$262:$F$327,5,FALSE),"")</f>
        <v/>
      </c>
    </row>
    <row r="41" spans="2:12" ht="15">
      <c r="B41" s="201" t="s">
        <v>47</v>
      </c>
      <c r="C41" s="203" t="s">
        <v>48</v>
      </c>
      <c r="D41" s="202">
        <v>6.8300000000000001E-4</v>
      </c>
      <c r="E41" s="191">
        <f t="shared" si="1"/>
        <v>8.1841530966787944E-5</v>
      </c>
      <c r="F41" s="192" t="s">
        <v>720</v>
      </c>
      <c r="G41" s="193">
        <f>'Input Information'!$B$33*'RESIDUAL MASTER SHEET'!E41</f>
        <v>0</v>
      </c>
      <c r="H41" s="194">
        <f>(1-('Input Information'!$D$67/100))*G41</f>
        <v>0</v>
      </c>
      <c r="K41" s="195" t="str">
        <f>IFERROR(VLOOKUP(C41,'NPRI List 2019'!$A$2:$F$327,5,FALSE),"")</f>
        <v>1B</v>
      </c>
      <c r="L41" s="195" t="str">
        <f>IFERROR(VLOOKUP(C41,'NPRI List 2019'!$A$262:$F$327,5,FALSE),"")</f>
        <v/>
      </c>
    </row>
    <row r="42" spans="2:12" ht="15">
      <c r="B42" s="201" t="s">
        <v>84</v>
      </c>
      <c r="C42" s="203" t="s">
        <v>85</v>
      </c>
      <c r="D42" s="202">
        <v>6.1999999999999998E-3</v>
      </c>
      <c r="E42" s="191">
        <f t="shared" si="1"/>
        <v>7.4292458564287735E-4</v>
      </c>
      <c r="F42" s="192" t="s">
        <v>755</v>
      </c>
      <c r="G42" s="193">
        <f>'Input Information'!$B$33*'RESIDUAL MASTER SHEET'!E42</f>
        <v>0</v>
      </c>
      <c r="H42" s="194">
        <f t="shared" si="2"/>
        <v>0</v>
      </c>
      <c r="K42" s="195" t="str">
        <f>IFERROR(VLOOKUP(C42,'NPRI List 2019'!$A$2:$F$327,5,FALSE),"")</f>
        <v>1A</v>
      </c>
      <c r="L42" s="195">
        <f>IFERROR(VLOOKUP(C42,'NPRI List 2019'!$A$262:$F$327,5,FALSE),"")</f>
        <v>5</v>
      </c>
    </row>
    <row r="43" spans="2:12" ht="15">
      <c r="B43" s="204" t="s">
        <v>475</v>
      </c>
      <c r="C43" s="203" t="s">
        <v>86</v>
      </c>
      <c r="D43" s="202">
        <v>1.0900000000000001E-4</v>
      </c>
      <c r="E43" s="191">
        <f t="shared" si="1"/>
        <v>1.3061093521786072E-5</v>
      </c>
      <c r="F43" s="192" t="s">
        <v>822</v>
      </c>
      <c r="G43" s="193">
        <f>'Input Information'!$B$33*'RESIDUAL MASTER SHEET'!E43</f>
        <v>0</v>
      </c>
      <c r="H43" s="194">
        <f t="shared" si="2"/>
        <v>0</v>
      </c>
      <c r="K43" s="195" t="str">
        <f>IFERROR(VLOOKUP(C43,'NPRI List 2019'!$A$2:$F$327,5,FALSE),"")</f>
        <v>1A</v>
      </c>
      <c r="L43" s="195">
        <f>IFERROR(VLOOKUP(C43,'NPRI List 2019'!$A$262:$F$327,5,FALSE),"")</f>
        <v>5</v>
      </c>
    </row>
    <row r="44" spans="2:12" ht="15">
      <c r="B44" s="201" t="s">
        <v>739</v>
      </c>
      <c r="C44" s="203" t="s">
        <v>469</v>
      </c>
      <c r="D44" s="202">
        <v>3.1800000000000002E-2</v>
      </c>
      <c r="E44" s="191">
        <f t="shared" si="1"/>
        <v>3.8104841650715327E-3</v>
      </c>
      <c r="F44" s="192" t="s">
        <v>755</v>
      </c>
      <c r="G44" s="193">
        <f>'Input Information'!$B$33*'RESIDUAL MASTER SHEET'!E44</f>
        <v>0</v>
      </c>
      <c r="H44" s="194">
        <f>(1-('Input Information'!$D$67/100))*G44</f>
        <v>0</v>
      </c>
      <c r="K44" s="195" t="str">
        <f>IFERROR(VLOOKUP(C44,'NPRI List 2019'!$A$2:$F$327,5,FALSE),"")</f>
        <v>1A</v>
      </c>
      <c r="L44" s="195" t="str">
        <f>IFERROR(VLOOKUP(C44,'NPRI List 2019'!$A$262:$F$327,5,FALSE),"")</f>
        <v/>
      </c>
    </row>
    <row r="45" spans="2:12" ht="15">
      <c r="B45" s="201" t="s">
        <v>91</v>
      </c>
      <c r="C45" s="203" t="s">
        <v>92</v>
      </c>
      <c r="D45" s="202">
        <v>2.9100000000000001E-2</v>
      </c>
      <c r="E45" s="191">
        <f>D45*(264.172/2.20462/1000)</f>
        <v>3.4869524906786667E-3</v>
      </c>
      <c r="F45" s="192" t="s">
        <v>755</v>
      </c>
      <c r="G45" s="193">
        <f>'Input Information'!$B$33*'RESIDUAL MASTER SHEET'!E45</f>
        <v>0</v>
      </c>
      <c r="H45" s="194">
        <f>(1-('Input Information'!$D$67/100))*G45</f>
        <v>0</v>
      </c>
      <c r="K45" s="195" t="str">
        <f>IFERROR(VLOOKUP(C45,'NPRI List 2019'!$A$2:$F$327,5,FALSE),"")</f>
        <v>1A</v>
      </c>
      <c r="L45" s="195" t="str">
        <f>IFERROR(VLOOKUP(C45,'NPRI List 2019'!$A$262:$F$327,5,FALSE),"")</f>
        <v/>
      </c>
    </row>
    <row r="46" spans="2:12" ht="15">
      <c r="B46" s="201" t="s">
        <v>508</v>
      </c>
      <c r="C46" s="203" t="s">
        <v>507</v>
      </c>
      <c r="D46" s="202">
        <v>2.1100000000000001E-5</v>
      </c>
      <c r="E46" s="191">
        <f t="shared" ref="E46:E48" si="3">D46*(264.172/2.20462/1000)</f>
        <v>2.528340122107212E-6</v>
      </c>
      <c r="F46" s="192" t="s">
        <v>720</v>
      </c>
      <c r="G46" s="193">
        <f>'Input Information'!$B$33*'RESIDUAL MASTER SHEET'!E46</f>
        <v>0</v>
      </c>
      <c r="H46" s="194">
        <f>(1-('Input Information'!$D$67/100))*G46</f>
        <v>0</v>
      </c>
      <c r="K46" s="195">
        <f>IFERROR(VLOOKUP(C46,'NPRI List 2019'!$A$2:$F$327,5,FALSE),"")</f>
        <v>2</v>
      </c>
      <c r="L46" s="195" t="str">
        <f>IFERROR(VLOOKUP(C46,'NPRI List 2019'!$A$262:$F$327,5,FALSE),"")</f>
        <v/>
      </c>
    </row>
    <row r="47" spans="2:12" ht="15">
      <c r="B47" s="201" t="s">
        <v>877</v>
      </c>
      <c r="C47" s="203" t="s">
        <v>510</v>
      </c>
      <c r="D47" s="202">
        <v>2.53E-7</v>
      </c>
      <c r="E47" s="191">
        <f t="shared" si="3"/>
        <v>3.0316116156072255E-8</v>
      </c>
      <c r="F47" s="192" t="s">
        <v>755</v>
      </c>
      <c r="G47" s="193">
        <f>'Input Information'!$B$33*'RESIDUAL MASTER SHEET'!E47</f>
        <v>0</v>
      </c>
      <c r="H47" s="194">
        <f>(1-('Input Information'!$D$67/100))*G47</f>
        <v>0</v>
      </c>
      <c r="K47" s="195">
        <f>IFERROR(VLOOKUP(C47,'NPRI List 2019'!$A$2:$F$327,5,FALSE),"")</f>
        <v>2</v>
      </c>
      <c r="L47" s="195" t="str">
        <f>IFERROR(VLOOKUP(C47,'NPRI List 2019'!$A$262:$F$327,5,FALSE),"")</f>
        <v/>
      </c>
    </row>
    <row r="48" spans="2:12" ht="15">
      <c r="B48" s="201" t="s">
        <v>545</v>
      </c>
      <c r="C48" s="203" t="s">
        <v>544</v>
      </c>
      <c r="D48" s="202">
        <v>4.4700000000000004E-6</v>
      </c>
      <c r="E48" s="191">
        <f t="shared" si="3"/>
        <v>5.3562466093930034E-7</v>
      </c>
      <c r="F48" s="192" t="s">
        <v>720</v>
      </c>
      <c r="G48" s="193">
        <f>'Input Information'!$B$33*'RESIDUAL MASTER SHEET'!E48</f>
        <v>0</v>
      </c>
      <c r="H48" s="194">
        <f>(1-('Input Information'!$D$67/100))*G48</f>
        <v>0</v>
      </c>
      <c r="K48" s="195">
        <f>IFERROR(VLOOKUP(C48,'NPRI List 2019'!$A$2:$F$327,5,FALSE),"")</f>
        <v>2</v>
      </c>
      <c r="L48" s="195" t="str">
        <f>IFERROR(VLOOKUP(C48,'NPRI List 2019'!$A$262:$F$327,5,FALSE),"")</f>
        <v/>
      </c>
    </row>
    <row r="49" spans="2:11" ht="7.5" customHeight="1">
      <c r="I49" s="205"/>
      <c r="J49" s="205"/>
      <c r="K49" s="205"/>
    </row>
    <row r="50" spans="2:11">
      <c r="B50" s="206" t="s">
        <v>735</v>
      </c>
      <c r="I50" s="205"/>
      <c r="J50" s="205"/>
      <c r="K50" s="205"/>
    </row>
    <row r="51" spans="2:11">
      <c r="B51" s="206" t="s">
        <v>737</v>
      </c>
      <c r="I51" s="205"/>
      <c r="J51" s="205"/>
      <c r="K51" s="205"/>
    </row>
    <row r="52" spans="2:11" ht="15" thickBot="1">
      <c r="I52" s="205"/>
      <c r="J52" s="205"/>
      <c r="K52" s="205"/>
    </row>
    <row r="53" spans="2:11" ht="16.5">
      <c r="B53" s="326" t="s">
        <v>860</v>
      </c>
      <c r="C53" s="326"/>
      <c r="D53" s="326"/>
      <c r="E53" s="326"/>
      <c r="F53" s="315" t="s">
        <v>887</v>
      </c>
    </row>
    <row r="54" spans="2:11">
      <c r="B54" s="309" t="s">
        <v>727</v>
      </c>
      <c r="C54" s="313" t="s">
        <v>728</v>
      </c>
      <c r="D54" s="314"/>
      <c r="E54" s="314"/>
      <c r="F54" s="316"/>
    </row>
    <row r="55" spans="2:11">
      <c r="B55" s="309"/>
      <c r="C55" s="195">
        <v>6</v>
      </c>
      <c r="D55" s="195">
        <v>5</v>
      </c>
      <c r="E55" s="207">
        <v>4</v>
      </c>
      <c r="F55" s="317"/>
    </row>
    <row r="56" spans="2:11" ht="18.75">
      <c r="B56" s="252" t="s">
        <v>861</v>
      </c>
      <c r="C56" s="209">
        <f>157*'Input Information'!$D$47</f>
        <v>18.78819</v>
      </c>
      <c r="D56" s="209">
        <f>157*'Input Information'!$D$47</f>
        <v>18.78819</v>
      </c>
      <c r="E56" s="210">
        <f>150*'Input Information'!$D$47</f>
        <v>17.950499999999998</v>
      </c>
      <c r="F56" s="211">
        <f>INDEX($C$56:$E$59,MATCH(B56,$B$56:$B$59,0),MATCH($F$65,$C$55:$E$55,0))</f>
        <v>18.78819</v>
      </c>
    </row>
    <row r="57" spans="2:11" ht="18.75">
      <c r="B57" s="252" t="s">
        <v>862</v>
      </c>
      <c r="C57" s="212">
        <v>55</v>
      </c>
      <c r="D57" s="212">
        <v>55</v>
      </c>
      <c r="E57" s="213">
        <v>20</v>
      </c>
      <c r="F57" s="211">
        <f t="shared" ref="F57:F58" si="4">INDEX($C$56:$E$59,MATCH(B57,$B$56:$B$59,0),MATCH($F$65,$C$55:$E$55,0))</f>
        <v>55</v>
      </c>
    </row>
    <row r="58" spans="2:11">
      <c r="B58" s="252" t="s">
        <v>54</v>
      </c>
      <c r="C58" s="214">
        <v>5</v>
      </c>
      <c r="D58" s="209">
        <v>5</v>
      </c>
      <c r="E58" s="210">
        <v>5</v>
      </c>
      <c r="F58" s="211">
        <f t="shared" si="4"/>
        <v>5</v>
      </c>
    </row>
    <row r="59" spans="2:11" ht="15" thickBot="1">
      <c r="B59" s="252" t="s">
        <v>56</v>
      </c>
      <c r="C59" s="212">
        <f>(9.19*'Input Information'!$D$47)+3.22</f>
        <v>4.3197673000000005</v>
      </c>
      <c r="D59" s="212">
        <v>10</v>
      </c>
      <c r="E59" s="213">
        <v>7</v>
      </c>
      <c r="F59" s="215">
        <f>INDEX($C$56:$E$59,MATCH(B59,$B$56:$B$59,0),MATCH($F$65,$C$55:$E$55,0))</f>
        <v>4.3197673000000005</v>
      </c>
    </row>
    <row r="60" spans="2:11" ht="15.75" customHeight="1">
      <c r="B60" s="184" t="s">
        <v>824</v>
      </c>
      <c r="C60" s="216" t="s">
        <v>823</v>
      </c>
      <c r="D60" s="217" t="s">
        <v>821</v>
      </c>
      <c r="E60" s="217" t="s">
        <v>823</v>
      </c>
      <c r="F60" s="218" t="str">
        <f>INDEX(C60:E60,MATCH($F$65,$C$55:$E$55,0))</f>
        <v>B</v>
      </c>
    </row>
    <row r="61" spans="2:11">
      <c r="B61" s="184" t="s">
        <v>730</v>
      </c>
      <c r="C61" s="216"/>
      <c r="D61" s="217"/>
      <c r="E61" s="217"/>
    </row>
    <row r="62" spans="2:11" hidden="1">
      <c r="C62" s="216"/>
      <c r="D62" s="217"/>
      <c r="E62" s="217"/>
    </row>
    <row r="63" spans="2:11">
      <c r="B63" s="217"/>
      <c r="C63" s="217"/>
      <c r="D63" s="219"/>
      <c r="E63" s="219"/>
    </row>
    <row r="64" spans="2:11" ht="15">
      <c r="B64" s="323" t="s">
        <v>713</v>
      </c>
      <c r="C64" s="323"/>
      <c r="E64" s="332" t="s">
        <v>726</v>
      </c>
      <c r="F64" s="332"/>
    </row>
    <row r="65" spans="2:8" ht="15">
      <c r="B65" s="321" t="s">
        <v>712</v>
      </c>
      <c r="C65" s="322"/>
      <c r="E65" s="208" t="s">
        <v>718</v>
      </c>
      <c r="F65" s="195">
        <f>'Input Information'!H7</f>
        <v>6</v>
      </c>
    </row>
    <row r="66" spans="2:8">
      <c r="B66" s="220" t="s">
        <v>703</v>
      </c>
      <c r="C66" s="221">
        <f>1.12*('Input Information'!$D$47)+0.37</f>
        <v>0.50403039999999999</v>
      </c>
      <c r="E66" s="208" t="s">
        <v>725</v>
      </c>
      <c r="F66" s="195" t="str">
        <f>'Input Information'!$H$37</f>
        <v>I</v>
      </c>
    </row>
    <row r="67" spans="2:8">
      <c r="B67" s="222" t="s">
        <v>704</v>
      </c>
      <c r="C67" s="222">
        <v>1.2</v>
      </c>
    </row>
    <row r="68" spans="2:8">
      <c r="B68" s="223" t="s">
        <v>705</v>
      </c>
      <c r="C68" s="223">
        <v>0.84</v>
      </c>
    </row>
    <row r="70" spans="2:8" ht="18.75">
      <c r="B70" s="331" t="s">
        <v>863</v>
      </c>
      <c r="C70" s="331"/>
      <c r="D70" s="331"/>
      <c r="E70" s="331"/>
      <c r="F70" s="331"/>
    </row>
    <row r="71" spans="2:8" ht="3.75" customHeight="1"/>
    <row r="72" spans="2:8" ht="15">
      <c r="B72" s="319" t="s">
        <v>722</v>
      </c>
      <c r="C72" s="320"/>
      <c r="D72" s="320"/>
      <c r="E72" s="320"/>
    </row>
    <row r="73" spans="2:8" ht="15">
      <c r="B73" s="319" t="s">
        <v>723</v>
      </c>
      <c r="C73" s="320"/>
      <c r="D73" s="320"/>
      <c r="E73" s="320"/>
    </row>
    <row r="74" spans="2:8" ht="15">
      <c r="B74" s="319" t="s">
        <v>724</v>
      </c>
      <c r="C74" s="320"/>
      <c r="D74" s="320"/>
      <c r="E74" s="320"/>
    </row>
    <row r="75" spans="2:8" ht="10.5" customHeight="1" thickBot="1"/>
    <row r="76" spans="2:8" ht="18">
      <c r="B76" s="324" t="s">
        <v>864</v>
      </c>
      <c r="C76" s="325"/>
      <c r="D76" s="325"/>
      <c r="E76" s="325"/>
      <c r="F76" s="339" t="s">
        <v>819</v>
      </c>
      <c r="G76" s="327" t="s">
        <v>887</v>
      </c>
    </row>
    <row r="77" spans="2:8">
      <c r="B77" s="318" t="s">
        <v>729</v>
      </c>
      <c r="C77" s="313" t="s">
        <v>728</v>
      </c>
      <c r="D77" s="314"/>
      <c r="E77" s="314"/>
      <c r="F77" s="340"/>
      <c r="G77" s="328"/>
    </row>
    <row r="78" spans="2:8" ht="15" thickBot="1">
      <c r="B78" s="318"/>
      <c r="C78" s="249">
        <v>6</v>
      </c>
      <c r="D78" s="249">
        <v>5</v>
      </c>
      <c r="E78" s="250">
        <v>4</v>
      </c>
      <c r="F78" s="340"/>
      <c r="G78" s="329"/>
    </row>
    <row r="79" spans="2:8" ht="15" thickBot="1">
      <c r="B79" s="268" t="s">
        <v>719</v>
      </c>
      <c r="C79" s="224">
        <f>7.17*C66</f>
        <v>3.6138979679999998</v>
      </c>
      <c r="D79" s="224">
        <f>7.17*C67</f>
        <v>8.6039999999999992</v>
      </c>
      <c r="E79" s="225">
        <f>7.17*C68</f>
        <v>6.0228000000000002</v>
      </c>
      <c r="F79" s="259" t="s">
        <v>755</v>
      </c>
      <c r="G79" s="254">
        <f>INDEX($C$79:$E$81,MATCH($F$66,$B$79:$B$81,0),MATCH($F$65,$C$78:$E$78,0))</f>
        <v>3.6138979679999998</v>
      </c>
      <c r="H79" s="184" t="s">
        <v>733</v>
      </c>
    </row>
    <row r="80" spans="2:8" ht="15" thickBot="1">
      <c r="B80" s="268" t="s">
        <v>720</v>
      </c>
      <c r="C80" s="224">
        <f>5.17*C66</f>
        <v>2.6058371679999999</v>
      </c>
      <c r="D80" s="224">
        <f>5.17*C67</f>
        <v>6.2039999999999997</v>
      </c>
      <c r="E80" s="225">
        <f>5.17*C68</f>
        <v>4.3427999999999995</v>
      </c>
      <c r="F80" s="259" t="s">
        <v>755</v>
      </c>
      <c r="G80" s="267" t="str">
        <f>INDEX(F79:F81,MATCH($F$66,$B$79:$B$81,0))</f>
        <v>D</v>
      </c>
      <c r="H80" s="184" t="s">
        <v>734</v>
      </c>
    </row>
    <row r="81" spans="2:8" ht="15" thickBot="1">
      <c r="B81" s="269" t="s">
        <v>721</v>
      </c>
      <c r="C81" s="260">
        <f>5.9*C66</f>
        <v>2.97377936</v>
      </c>
      <c r="D81" s="260">
        <f>5.9*C67</f>
        <v>7.08</v>
      </c>
      <c r="E81" s="270">
        <f>5.9*C68</f>
        <v>4.9560000000000004</v>
      </c>
      <c r="F81" s="261" t="s">
        <v>720</v>
      </c>
      <c r="G81" s="226"/>
      <c r="H81" s="184" t="s">
        <v>732</v>
      </c>
    </row>
    <row r="82" spans="2:8" ht="3.75" customHeight="1">
      <c r="B82" s="219"/>
      <c r="C82" s="219"/>
      <c r="D82" s="219"/>
      <c r="E82" s="219"/>
      <c r="G82" s="226"/>
    </row>
    <row r="83" spans="2:8" hidden="1">
      <c r="B83" s="219"/>
      <c r="C83" s="219"/>
      <c r="D83" s="219"/>
      <c r="E83" s="219"/>
      <c r="G83" s="226"/>
    </row>
    <row r="84" spans="2:8" ht="15" thickBot="1">
      <c r="B84" s="219"/>
      <c r="C84" s="219"/>
      <c r="D84" s="219"/>
      <c r="E84" s="219"/>
    </row>
    <row r="85" spans="2:8" ht="18">
      <c r="B85" s="324" t="s">
        <v>865</v>
      </c>
      <c r="C85" s="325"/>
      <c r="D85" s="325"/>
      <c r="E85" s="325"/>
      <c r="F85" s="339" t="s">
        <v>819</v>
      </c>
      <c r="G85" s="327" t="s">
        <v>887</v>
      </c>
    </row>
    <row r="86" spans="2:8">
      <c r="B86" s="318" t="s">
        <v>729</v>
      </c>
      <c r="C86" s="313" t="s">
        <v>728</v>
      </c>
      <c r="D86" s="314"/>
      <c r="E86" s="314"/>
      <c r="F86" s="340"/>
      <c r="G86" s="328"/>
    </row>
    <row r="87" spans="2:8" ht="15" thickBot="1">
      <c r="B87" s="318"/>
      <c r="C87" s="249">
        <v>6</v>
      </c>
      <c r="D87" s="249">
        <v>5</v>
      </c>
      <c r="E87" s="250">
        <v>4</v>
      </c>
      <c r="F87" s="340"/>
      <c r="G87" s="329"/>
    </row>
    <row r="88" spans="2:8" ht="15" thickBot="1">
      <c r="B88" s="268" t="s">
        <v>719</v>
      </c>
      <c r="C88" s="224">
        <f>4.67*C66</f>
        <v>2.3538219680000001</v>
      </c>
      <c r="D88" s="224">
        <f>4.67*C67</f>
        <v>5.6040000000000001</v>
      </c>
      <c r="E88" s="225">
        <f>4.67*C68</f>
        <v>3.9227999999999996</v>
      </c>
      <c r="F88" s="259" t="s">
        <v>755</v>
      </c>
      <c r="G88" s="254">
        <f>INDEX($C$88:$E$90,MATCH(F66,B88:B90,0),MATCH(F65,C87:E87,0))</f>
        <v>2.3538219680000001</v>
      </c>
      <c r="H88" s="184" t="s">
        <v>733</v>
      </c>
    </row>
    <row r="89" spans="2:8" ht="15" thickBot="1">
      <c r="B89" s="268" t="s">
        <v>720</v>
      </c>
      <c r="C89" s="224">
        <f>1.92*C66</f>
        <v>0.9677383679999999</v>
      </c>
      <c r="D89" s="224">
        <f>1.92*C67</f>
        <v>2.3039999999999998</v>
      </c>
      <c r="E89" s="224">
        <f>1.92*C68</f>
        <v>1.6127999999999998</v>
      </c>
      <c r="F89" s="259" t="s">
        <v>755</v>
      </c>
      <c r="G89" s="267" t="str">
        <f>INDEX(F88:F90,MATCH($F$66,$B$88:$B$90,0))</f>
        <v>D</v>
      </c>
      <c r="H89" s="184" t="s">
        <v>734</v>
      </c>
    </row>
    <row r="90" spans="2:8" ht="15" thickBot="1">
      <c r="B90" s="269" t="s">
        <v>721</v>
      </c>
      <c r="C90" s="260">
        <f>4.3*C66</f>
        <v>2.1673307199999998</v>
      </c>
      <c r="D90" s="260">
        <f>4.3*C67</f>
        <v>5.1599999999999993</v>
      </c>
      <c r="E90" s="260">
        <f>4.3*C68</f>
        <v>3.6119999999999997</v>
      </c>
      <c r="F90" s="261" t="s">
        <v>720</v>
      </c>
      <c r="G90" s="226"/>
      <c r="H90" s="184" t="s">
        <v>732</v>
      </c>
    </row>
    <row r="91" spans="2:8" ht="7.5" customHeight="1">
      <c r="B91" s="219"/>
      <c r="C91" s="219"/>
      <c r="D91" s="219"/>
      <c r="E91" s="219"/>
    </row>
    <row r="92" spans="2:8" hidden="1">
      <c r="B92" s="219"/>
      <c r="C92" s="219"/>
      <c r="D92" s="219"/>
      <c r="E92" s="219"/>
    </row>
    <row r="93" spans="2:8" ht="15" thickBot="1">
      <c r="B93" s="219"/>
      <c r="C93" s="219"/>
      <c r="D93" s="219"/>
      <c r="E93" s="219"/>
    </row>
    <row r="94" spans="2:8" ht="16.5" customHeight="1">
      <c r="B94" s="333" t="s">
        <v>866</v>
      </c>
      <c r="C94" s="334"/>
      <c r="D94" s="334"/>
      <c r="E94" s="335"/>
      <c r="F94" s="341" t="s">
        <v>819</v>
      </c>
      <c r="G94" s="327" t="s">
        <v>887</v>
      </c>
    </row>
    <row r="95" spans="2:8">
      <c r="B95" s="336" t="s">
        <v>729</v>
      </c>
      <c r="C95" s="313" t="s">
        <v>728</v>
      </c>
      <c r="D95" s="314"/>
      <c r="E95" s="338"/>
      <c r="F95" s="342"/>
      <c r="G95" s="328"/>
    </row>
    <row r="96" spans="2:8">
      <c r="B96" s="337"/>
      <c r="C96" s="249">
        <v>6</v>
      </c>
      <c r="D96" s="249">
        <v>5</v>
      </c>
      <c r="E96" s="250">
        <v>4</v>
      </c>
      <c r="F96" s="343"/>
      <c r="G96" s="330"/>
    </row>
    <row r="97" spans="2:7" ht="15" thickBot="1">
      <c r="B97" s="268" t="s">
        <v>719</v>
      </c>
      <c r="C97" s="224">
        <v>0.28000000000000003</v>
      </c>
      <c r="D97" s="224">
        <v>0.28000000000000003</v>
      </c>
      <c r="E97" s="225">
        <v>0.2</v>
      </c>
      <c r="F97" s="259" t="s">
        <v>821</v>
      </c>
      <c r="G97" s="271">
        <f>INDEX(C97:E99,MATCH(F66,B97:B99,0),MATCH(F65,C96:E96,0))</f>
        <v>0.28000000000000003</v>
      </c>
    </row>
    <row r="98" spans="2:7" ht="15" thickBot="1">
      <c r="B98" s="268" t="s">
        <v>720</v>
      </c>
      <c r="C98" s="224">
        <v>1.1299999999999999</v>
      </c>
      <c r="D98" s="224">
        <v>1.1299999999999999</v>
      </c>
      <c r="E98" s="224">
        <v>0.34</v>
      </c>
      <c r="F98" s="259" t="s">
        <v>821</v>
      </c>
      <c r="G98" s="267" t="str">
        <f>INDEX(F97:F99,MATCH($F$66,$B$97:$B$99,0))</f>
        <v>A</v>
      </c>
    </row>
    <row r="99" spans="2:7" ht="15" thickBot="1">
      <c r="B99" s="269" t="s">
        <v>721</v>
      </c>
      <c r="C99" s="260">
        <v>0.76</v>
      </c>
      <c r="D99" s="260">
        <v>0.76</v>
      </c>
      <c r="E99" s="260">
        <v>0.76</v>
      </c>
      <c r="F99" s="261" t="s">
        <v>821</v>
      </c>
      <c r="G99" s="226"/>
    </row>
    <row r="100" spans="2:7" ht="4.5" customHeight="1"/>
    <row r="101" spans="2:7">
      <c r="B101" s="184" t="s">
        <v>731</v>
      </c>
    </row>
  </sheetData>
  <sheetProtection algorithmName="SHA-512" hashValue="BLpMA7S5mw+sEXpyT+pMGF9nKJo1EI56hJP47kUyjHISzgUlJteG9jrDUXnM1fcO+WEOQ1PltCkGgifBCHnb/A==" saltValue="mb9WkEqNlPUiNKx4D+gDvw==" spinCount="100000" sheet="1" objects="1" scenarios="1" selectLockedCells="1" selectUnlockedCells="1"/>
  <autoFilter ref="K4:L48"/>
  <mergeCells count="32">
    <mergeCell ref="G85:G87"/>
    <mergeCell ref="G94:G96"/>
    <mergeCell ref="B70:F70"/>
    <mergeCell ref="E64:F64"/>
    <mergeCell ref="B85:E85"/>
    <mergeCell ref="B86:B87"/>
    <mergeCell ref="C86:E86"/>
    <mergeCell ref="B94:E94"/>
    <mergeCell ref="B95:B96"/>
    <mergeCell ref="C95:E95"/>
    <mergeCell ref="F76:F78"/>
    <mergeCell ref="F85:F87"/>
    <mergeCell ref="G76:G78"/>
    <mergeCell ref="F94:F96"/>
    <mergeCell ref="C54:E54"/>
    <mergeCell ref="F53:F55"/>
    <mergeCell ref="B77:B78"/>
    <mergeCell ref="C77:E77"/>
    <mergeCell ref="B74:E74"/>
    <mergeCell ref="B65:C65"/>
    <mergeCell ref="B64:C64"/>
    <mergeCell ref="B76:E76"/>
    <mergeCell ref="B53:E53"/>
    <mergeCell ref="B54:B55"/>
    <mergeCell ref="B72:E72"/>
    <mergeCell ref="B73:E73"/>
    <mergeCell ref="B4:B5"/>
    <mergeCell ref="C4:C5"/>
    <mergeCell ref="D4:E4"/>
    <mergeCell ref="K4:K5"/>
    <mergeCell ref="L4:L5"/>
    <mergeCell ref="F4:F5"/>
  </mergeCells>
  <pageMargins left="0.39370078740157483" right="0.39370078740157483" top="0.55118110236220474" bottom="0.39370078740157483" header="0.31496062992125984" footer="0.31496062992125984"/>
  <pageSetup scale="64" orientation="landscape" r:id="rId1"/>
  <rowBreaks count="1" manualBreakCount="1">
    <brk id="48" max="16383" man="1"/>
  </rowBreaks>
  <ignoredErrors>
    <ignoredError sqref="D11" formula="1"/>
  </ignoredErrors>
  <extLst>
    <ext xmlns:x14="http://schemas.microsoft.com/office/spreadsheetml/2009/9/main" uri="{78C0D931-6437-407d-A8EE-F0AAD7539E65}">
      <x14:conditionalFormattings>
        <x14:conditionalFormatting xmlns:xm="http://schemas.microsoft.com/office/excel/2006/main">
          <x14:cfRule type="expression" priority="2" id="{2354DCF2-516A-473C-8A78-A606A21F106F}">
            <xm:f>'Input Information'!$H$4="D"</xm:f>
            <x14:dxf>
              <fill>
                <patternFill patternType="darkGray"/>
              </fill>
            </x14:dxf>
          </x14:cfRule>
          <xm:sqref>D6:H45 E46:H48</xm:sqref>
        </x14:conditionalFormatting>
        <x14:conditionalFormatting xmlns:xm="http://schemas.microsoft.com/office/excel/2006/main">
          <x14:cfRule type="expression" priority="1" id="{2D810726-45F3-4532-A76F-C510ABF2E5C0}">
            <xm:f>'Input Information'!$H$4="D"</xm:f>
            <x14:dxf>
              <fill>
                <patternFill patternType="darkGray"/>
              </fill>
            </x14:dxf>
          </x14:cfRule>
          <xm:sqref>D46:D48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5"/>
  <sheetViews>
    <sheetView workbookViewId="0">
      <selection activeCell="M1" sqref="M1"/>
    </sheetView>
  </sheetViews>
  <sheetFormatPr defaultColWidth="9.5703125" defaultRowHeight="14.25"/>
  <cols>
    <col min="1" max="1" width="2.5703125" style="184" customWidth="1"/>
    <col min="2" max="2" width="62.28515625" style="184" customWidth="1"/>
    <col min="3" max="3" width="13.85546875" style="184" customWidth="1"/>
    <col min="4" max="4" width="22.28515625" style="184" customWidth="1"/>
    <col min="5" max="5" width="19.140625" style="184" bestFit="1" customWidth="1"/>
    <col min="6" max="6" width="17.42578125" style="184" customWidth="1"/>
    <col min="7" max="7" width="23" style="184" customWidth="1"/>
    <col min="8" max="8" width="20.85546875" style="184" customWidth="1"/>
    <col min="9" max="9" width="3.5703125" style="184" customWidth="1"/>
    <col min="10" max="10" width="10.7109375" style="184" bestFit="1" customWidth="1"/>
    <col min="11" max="11" width="11.28515625" style="184" customWidth="1"/>
    <col min="12" max="16384" width="9.5703125" style="184"/>
  </cols>
  <sheetData>
    <row r="2" spans="2:11" ht="26.25" customHeight="1">
      <c r="B2" s="183" t="s">
        <v>701</v>
      </c>
    </row>
    <row r="3" spans="2:11" ht="5.25" customHeight="1"/>
    <row r="4" spans="2:11" ht="33.6" customHeight="1">
      <c r="B4" s="308" t="s">
        <v>24</v>
      </c>
      <c r="C4" s="309" t="s">
        <v>803</v>
      </c>
      <c r="D4" s="310" t="s">
        <v>25</v>
      </c>
      <c r="E4" s="310"/>
      <c r="F4" s="311" t="s">
        <v>819</v>
      </c>
      <c r="G4" s="185" t="s">
        <v>766</v>
      </c>
      <c r="H4" s="185" t="s">
        <v>767</v>
      </c>
      <c r="J4" s="311" t="s">
        <v>93</v>
      </c>
      <c r="K4" s="311" t="s">
        <v>94</v>
      </c>
    </row>
    <row r="5" spans="2:11" ht="16.5">
      <c r="B5" s="308"/>
      <c r="C5" s="309"/>
      <c r="D5" s="195" t="s">
        <v>854</v>
      </c>
      <c r="E5" s="195" t="s">
        <v>855</v>
      </c>
      <c r="F5" s="312"/>
      <c r="G5" s="186" t="s">
        <v>26</v>
      </c>
      <c r="H5" s="228" t="s">
        <v>26</v>
      </c>
      <c r="J5" s="312"/>
      <c r="K5" s="312"/>
    </row>
    <row r="6" spans="2:11" ht="18.75">
      <c r="B6" s="188" t="s">
        <v>856</v>
      </c>
      <c r="C6" s="203" t="s">
        <v>52</v>
      </c>
      <c r="D6" s="199">
        <f>IF('Input Information'!$H$4="D",142*'Input Information'!$D$47,"Residual Master Sheet")</f>
        <v>16.99314</v>
      </c>
      <c r="E6" s="229">
        <f>IFERROR(D6*(264.172/2.20462/1000),"")</f>
        <v>2.0362292731082912</v>
      </c>
      <c r="F6" s="230" t="str">
        <f>IF('Input Information'!$H$4="D","A","Residual Master Sheet")</f>
        <v>A</v>
      </c>
      <c r="G6" s="194">
        <f>IF(E6="","",'Input Information'!$B$33*E6)</f>
        <v>0</v>
      </c>
      <c r="H6" s="194">
        <f>IFERROR((1-('Input Information'!D59/100))*G6,"")</f>
        <v>0</v>
      </c>
      <c r="J6" s="195">
        <f>IFERROR(VLOOKUP(C6,'NPRI List 2019'!$A$2:$F$327,5,FALSE),"")</f>
        <v>4</v>
      </c>
      <c r="K6" s="195" t="str">
        <f>IFERROR(VLOOKUP(C6,'NPRI List 2019'!$A$262:$F$326,5,FALSE),"")</f>
        <v/>
      </c>
    </row>
    <row r="7" spans="2:11" ht="18.75">
      <c r="B7" s="188" t="s">
        <v>857</v>
      </c>
      <c r="C7" s="200" t="s">
        <v>53</v>
      </c>
      <c r="D7" s="199">
        <f>IF('Input Information'!$H$4="D",20,"Residual Master Sheet")</f>
        <v>20</v>
      </c>
      <c r="E7" s="229">
        <f t="shared" ref="E7:E9" si="0">IFERROR(D7*(264.172/2.20462/1000),"")</f>
        <v>2.3965309214286368</v>
      </c>
      <c r="F7" s="230" t="str">
        <f>IF('Input Information'!$H$4="D","A","Residual Master Sheet")</f>
        <v>A</v>
      </c>
      <c r="G7" s="194">
        <f>IF(E7="","",'Input Information'!$B$33*E7)</f>
        <v>0</v>
      </c>
      <c r="H7" s="194">
        <f>IFERROR((1-('Input Information'!D55/100))*G7,"")</f>
        <v>0</v>
      </c>
      <c r="J7" s="195">
        <f>IFERROR(VLOOKUP(C7,'NPRI List 2019'!$A$2:$F$327,5,FALSE),"")</f>
        <v>4</v>
      </c>
      <c r="K7" s="195" t="str">
        <f>IFERROR(VLOOKUP(C7,'NPRI List 2019'!$A$262:$F$326,5,FALSE),"")</f>
        <v/>
      </c>
    </row>
    <row r="8" spans="2:11" ht="15">
      <c r="B8" s="188" t="s">
        <v>832</v>
      </c>
      <c r="C8" s="200" t="s">
        <v>55</v>
      </c>
      <c r="D8" s="199">
        <f>IF('Input Information'!$H$4="D",5,"Residual Master Sheet")</f>
        <v>5</v>
      </c>
      <c r="E8" s="229">
        <f t="shared" si="0"/>
        <v>0.59913273035715919</v>
      </c>
      <c r="F8" s="230" t="str">
        <f>IF('Input Information'!$H$4="D","A","Residual Master Sheet")</f>
        <v>A</v>
      </c>
      <c r="G8" s="194">
        <f>IF(E8="","",'Input Information'!$B$33*E8)</f>
        <v>0</v>
      </c>
      <c r="H8" s="194">
        <f>IFERROR((1-('Input Information'!D63/100))*G8,"")</f>
        <v>0</v>
      </c>
      <c r="J8" s="195">
        <f>IFERROR(VLOOKUP(C8,'NPRI List 2019'!$A$2:$F$327,5,FALSE),"")</f>
        <v>4</v>
      </c>
      <c r="K8" s="195" t="str">
        <f>IFERROR(VLOOKUP(C8,'NPRI List 2019'!$A$262:$F$326,5,FALSE),"")</f>
        <v/>
      </c>
    </row>
    <row r="9" spans="2:11" ht="15">
      <c r="B9" s="188" t="s">
        <v>830</v>
      </c>
      <c r="C9" s="200" t="s">
        <v>57</v>
      </c>
      <c r="D9" s="199">
        <f>IF('Input Information'!$H$4="D",2,"Residual Master Sheet")</f>
        <v>2</v>
      </c>
      <c r="E9" s="229">
        <f t="shared" si="0"/>
        <v>0.23965309214286368</v>
      </c>
      <c r="F9" s="230" t="str">
        <f>IF('Input Information'!$H$4="D","A","Residual Master Sheet")</f>
        <v>A</v>
      </c>
      <c r="G9" s="194">
        <f>IF(E9="","",'Input Information'!$B$33*E9)</f>
        <v>0</v>
      </c>
      <c r="H9" s="194">
        <f>IFERROR((1-('Input Information'!$D$67/100))*G9,"")</f>
        <v>0</v>
      </c>
      <c r="J9" s="195">
        <f>IFERROR(VLOOKUP(C9,'NPRI List 2019'!$A$2:$F$327,5,FALSE),"")</f>
        <v>4</v>
      </c>
      <c r="K9" s="195" t="str">
        <f>IFERROR(VLOOKUP(C9,'NPRI List 2019'!$A$262:$F$326,5,FALSE),"")</f>
        <v/>
      </c>
    </row>
    <row r="10" spans="2:11" ht="18.75">
      <c r="B10" s="197" t="s">
        <v>858</v>
      </c>
      <c r="C10" s="198" t="s">
        <v>49</v>
      </c>
      <c r="D10" s="199">
        <f>IF('Input Information'!$H$4="D",E67,"Residual Master Sheet")</f>
        <v>1</v>
      </c>
      <c r="E10" s="229">
        <f>IFERROR(D10*(264.172/2.20462/1000),"")</f>
        <v>0.11982654607143184</v>
      </c>
      <c r="F10" s="230" t="str">
        <f>IF('Input Information'!$H$4="D",E68,"Residual Master Sheet")</f>
        <v>E</v>
      </c>
      <c r="G10" s="194">
        <f>IF(E10="","",'Input Information'!$B$33*E10)</f>
        <v>0</v>
      </c>
      <c r="H10" s="194">
        <f>IFERROR((1-('Input Information'!$D$67/100))*G10,"")</f>
        <v>0</v>
      </c>
      <c r="J10" s="195">
        <f>IFERROR(VLOOKUP(C10,'NPRI List 2019'!$A$2:$F$327,5,FALSE),"")</f>
        <v>4</v>
      </c>
      <c r="K10" s="195" t="str">
        <f>IFERROR(VLOOKUP(C10,'NPRI List 2019'!$A$262:$F$326,5,FALSE),"")</f>
        <v/>
      </c>
    </row>
    <row r="11" spans="2:11" ht="18.75">
      <c r="B11" s="197" t="s">
        <v>859</v>
      </c>
      <c r="C11" s="198" t="s">
        <v>50</v>
      </c>
      <c r="D11" s="199">
        <f>IF('Input Information'!$H$4="D",E78,"Residual Master Sheet")</f>
        <v>0.25</v>
      </c>
      <c r="E11" s="229">
        <f t="shared" ref="E11:E12" si="1">IFERROR(D11*(264.172/2.20462/1000),"")</f>
        <v>2.995663651785796E-2</v>
      </c>
      <c r="F11" s="230" t="str">
        <f>IF('Input Information'!$H$4="D",E79,"Residual Master Sheet")</f>
        <v>E</v>
      </c>
      <c r="G11" s="194">
        <f>IF(E11="","",'Input Information'!$B$33*E11)</f>
        <v>0</v>
      </c>
      <c r="H11" s="194">
        <f>IFERROR((1-('Input Information'!$D$67/100))*G11,"")</f>
        <v>0</v>
      </c>
      <c r="J11" s="195">
        <f>IFERROR(VLOOKUP(C11,'NPRI List 2019'!$A$2:$F$327,5,FALSE),"")</f>
        <v>4</v>
      </c>
      <c r="K11" s="195" t="str">
        <f>IFERROR(VLOOKUP(C11,'NPRI List 2019'!$A$262:$F$326,5,FALSE),"")</f>
        <v/>
      </c>
    </row>
    <row r="12" spans="2:11" ht="15">
      <c r="B12" s="188" t="s">
        <v>831</v>
      </c>
      <c r="C12" s="200" t="s">
        <v>51</v>
      </c>
      <c r="D12" s="199">
        <f>IF('Input Information'!$H$4="D",E89,"Residual Master Sheet")</f>
        <v>0.2</v>
      </c>
      <c r="E12" s="229">
        <f t="shared" si="1"/>
        <v>2.3965309214286371E-2</v>
      </c>
      <c r="F12" s="230" t="str">
        <f>IF('Input Information'!$H$4="D",E90,"Residual Master Sheet")</f>
        <v>E</v>
      </c>
      <c r="G12" s="194">
        <f>IF(E12="","",'Input Information'!$B$33*E12)</f>
        <v>0</v>
      </c>
      <c r="H12" s="194">
        <f>G12</f>
        <v>0</v>
      </c>
      <c r="J12" s="195">
        <f>IFERROR(VLOOKUP(C12,'NPRI List 2019'!$A$2:$F$327,5,FALSE),"")</f>
        <v>4</v>
      </c>
      <c r="K12" s="195" t="str">
        <f>IFERROR(VLOOKUP(C12,'NPRI List 2019'!$A$262:$F$326,5,FALSE),"")</f>
        <v/>
      </c>
    </row>
    <row r="13" spans="2:11" ht="15">
      <c r="B13" s="231" t="s">
        <v>58</v>
      </c>
      <c r="C13" s="200" t="s">
        <v>59</v>
      </c>
      <c r="D13" s="199">
        <v>1.22E-6</v>
      </c>
      <c r="E13" s="229">
        <f t="shared" ref="E13:E33" si="2">D13*(264.172/2.20462/1000)</f>
        <v>1.4618838620714684E-7</v>
      </c>
      <c r="F13" s="232" t="s">
        <v>720</v>
      </c>
      <c r="G13" s="194">
        <f>'Input Information'!$B$33*E13</f>
        <v>0</v>
      </c>
      <c r="H13" s="194">
        <f t="shared" ref="H13:H33" si="3">G13</f>
        <v>0</v>
      </c>
      <c r="J13" s="195">
        <f>IFERROR(VLOOKUP(C13,'NPRI List 2019'!$A$2:$F$327,5,FALSE),"")</f>
        <v>2</v>
      </c>
      <c r="K13" s="195" t="str">
        <f>IFERROR(VLOOKUP(C13,'NPRI List 2019'!$A$262:$F$326,5,FALSE),"")</f>
        <v/>
      </c>
    </row>
    <row r="14" spans="2:11" ht="15">
      <c r="B14" s="231" t="s">
        <v>28</v>
      </c>
      <c r="C14" s="200" t="s">
        <v>29</v>
      </c>
      <c r="D14" s="199">
        <v>2.14E-4</v>
      </c>
      <c r="E14" s="229">
        <f t="shared" si="2"/>
        <v>2.5642880859286414E-5</v>
      </c>
      <c r="F14" s="232" t="s">
        <v>720</v>
      </c>
      <c r="G14" s="194">
        <f>'Input Information'!$B$33*E14</f>
        <v>0</v>
      </c>
      <c r="H14" s="194">
        <f t="shared" si="3"/>
        <v>0</v>
      </c>
      <c r="J14" s="195" t="str">
        <f>IFERROR(VLOOKUP(C14,'NPRI List 2019'!$A$2:$F$327,5,FALSE),"")</f>
        <v>1A</v>
      </c>
      <c r="K14" s="195">
        <f>IFERROR(VLOOKUP(C14,'NPRI List 2019'!$A$262:$F$326,5,FALSE),"")</f>
        <v>5</v>
      </c>
    </row>
    <row r="15" spans="2:11" ht="15">
      <c r="B15" s="231" t="s">
        <v>60</v>
      </c>
      <c r="C15" s="200" t="s">
        <v>61</v>
      </c>
      <c r="D15" s="199">
        <v>4.0099999999999997E-6</v>
      </c>
      <c r="E15" s="229">
        <f t="shared" si="2"/>
        <v>4.8050444974644168E-7</v>
      </c>
      <c r="F15" s="232" t="s">
        <v>720</v>
      </c>
      <c r="G15" s="194">
        <f>'Input Information'!$B$33*E15</f>
        <v>0</v>
      </c>
      <c r="H15" s="194">
        <f t="shared" si="3"/>
        <v>0</v>
      </c>
      <c r="J15" s="195">
        <f>IFERROR(VLOOKUP(C15,'NPRI List 2019'!$A$2:$F$327,5,FALSE),"")</f>
        <v>2</v>
      </c>
      <c r="K15" s="195" t="str">
        <f>IFERROR(VLOOKUP(C15,'NPRI List 2019'!$A$262:$F$326,5,FALSE),"")</f>
        <v/>
      </c>
    </row>
    <row r="16" spans="2:11" ht="15">
      <c r="B16" s="231" t="s">
        <v>62</v>
      </c>
      <c r="C16" s="200" t="s">
        <v>63</v>
      </c>
      <c r="D16" s="199">
        <v>2.3800000000000001E-6</v>
      </c>
      <c r="E16" s="229">
        <f t="shared" si="2"/>
        <v>2.851871796500078E-7</v>
      </c>
      <c r="F16" s="232" t="s">
        <v>720</v>
      </c>
      <c r="G16" s="194">
        <f>'Input Information'!$B$33*E16</f>
        <v>0</v>
      </c>
      <c r="H16" s="194">
        <f t="shared" si="3"/>
        <v>0</v>
      </c>
      <c r="J16" s="195">
        <f>IFERROR(VLOOKUP(C16,'NPRI List 2019'!$A$2:$F$327,5,FALSE),"")</f>
        <v>2</v>
      </c>
      <c r="K16" s="195" t="str">
        <f>IFERROR(VLOOKUP(C16,'NPRI List 2019'!$A$262:$F$326,5,FALSE),"")</f>
        <v/>
      </c>
    </row>
    <row r="17" spans="2:11" ht="15">
      <c r="B17" s="231" t="s">
        <v>64</v>
      </c>
      <c r="C17" s="200" t="s">
        <v>65</v>
      </c>
      <c r="D17" s="199">
        <v>1.48E-6</v>
      </c>
      <c r="E17" s="229">
        <f t="shared" si="2"/>
        <v>1.7734328818571913E-7</v>
      </c>
      <c r="F17" s="232" t="s">
        <v>720</v>
      </c>
      <c r="G17" s="194">
        <f>'Input Information'!$B$33*E17</f>
        <v>0</v>
      </c>
      <c r="H17" s="194">
        <f t="shared" si="3"/>
        <v>0</v>
      </c>
      <c r="J17" s="195">
        <f>IFERROR(VLOOKUP(C17,'NPRI List 2019'!$A$2:$F$327,5,FALSE),"")</f>
        <v>2</v>
      </c>
      <c r="K17" s="195" t="str">
        <f>IFERROR(VLOOKUP(C17,'NPRI List 2019'!$A$262:$F$326,5,FALSE),"")</f>
        <v/>
      </c>
    </row>
    <row r="18" spans="2:11" ht="15">
      <c r="B18" s="231" t="s">
        <v>66</v>
      </c>
      <c r="C18" s="200" t="s">
        <v>67</v>
      </c>
      <c r="D18" s="199">
        <v>2.26E-6</v>
      </c>
      <c r="E18" s="229">
        <f t="shared" si="2"/>
        <v>2.7080799412143594E-7</v>
      </c>
      <c r="F18" s="232" t="s">
        <v>720</v>
      </c>
      <c r="G18" s="194">
        <f>'Input Information'!$B$33*E18</f>
        <v>0</v>
      </c>
      <c r="H18" s="194">
        <f t="shared" si="3"/>
        <v>0</v>
      </c>
      <c r="J18" s="195">
        <f>IFERROR(VLOOKUP(C18,'NPRI List 2019'!$A$2:$F$327,5,FALSE),"")</f>
        <v>2</v>
      </c>
      <c r="K18" s="195" t="str">
        <f>IFERROR(VLOOKUP(C18,'NPRI List 2019'!$A$262:$F$326,5,FALSE),"")</f>
        <v/>
      </c>
    </row>
    <row r="19" spans="2:11" ht="15">
      <c r="B19" s="231" t="s">
        <v>68</v>
      </c>
      <c r="C19" s="200" t="s">
        <v>69</v>
      </c>
      <c r="D19" s="199">
        <v>1.48E-6</v>
      </c>
      <c r="E19" s="229">
        <f t="shared" si="2"/>
        <v>1.7734328818571913E-7</v>
      </c>
      <c r="F19" s="232" t="s">
        <v>720</v>
      </c>
      <c r="G19" s="194">
        <f>'Input Information'!$B$33*E19</f>
        <v>0</v>
      </c>
      <c r="H19" s="194">
        <f t="shared" si="3"/>
        <v>0</v>
      </c>
      <c r="J19" s="195">
        <f>IFERROR(VLOOKUP(C19,'NPRI List 2019'!$A$2:$F$327,5,FALSE),"")</f>
        <v>2</v>
      </c>
      <c r="K19" s="195" t="str">
        <f>IFERROR(VLOOKUP(C19,'NPRI List 2019'!$A$262:$F$326,5,FALSE),"")</f>
        <v/>
      </c>
    </row>
    <row r="20" spans="2:11" ht="15">
      <c r="B20" s="231" t="s">
        <v>70</v>
      </c>
      <c r="C20" s="200" t="s">
        <v>71</v>
      </c>
      <c r="D20" s="199">
        <v>1.6700000000000001E-6</v>
      </c>
      <c r="E20" s="229">
        <f t="shared" si="2"/>
        <v>2.0011033193929119E-7</v>
      </c>
      <c r="F20" s="232" t="s">
        <v>755</v>
      </c>
      <c r="G20" s="194">
        <f>'Input Information'!$B$33*E20</f>
        <v>0</v>
      </c>
      <c r="H20" s="194">
        <f t="shared" si="3"/>
        <v>0</v>
      </c>
      <c r="J20" s="195">
        <f>IFERROR(VLOOKUP(C20,'NPRI List 2019'!$A$2:$F$327,5,FALSE),"")</f>
        <v>2</v>
      </c>
      <c r="K20" s="195" t="str">
        <f>IFERROR(VLOOKUP(C20,'NPRI List 2019'!$A$262:$F$326,5,FALSE),"")</f>
        <v/>
      </c>
    </row>
    <row r="21" spans="2:11" ht="15">
      <c r="B21" s="231" t="s">
        <v>72</v>
      </c>
      <c r="C21" s="200" t="s">
        <v>73</v>
      </c>
      <c r="D21" s="199">
        <v>6.3600000000000001E-5</v>
      </c>
      <c r="E21" s="229">
        <f t="shared" si="2"/>
        <v>7.6209683301430652E-6</v>
      </c>
      <c r="F21" s="232" t="s">
        <v>822</v>
      </c>
      <c r="G21" s="194">
        <f>'Input Information'!$B$33*E21</f>
        <v>0</v>
      </c>
      <c r="H21" s="194">
        <f t="shared" si="3"/>
        <v>0</v>
      </c>
      <c r="J21" s="195" t="str">
        <f>IFERROR(VLOOKUP(C21,'NPRI List 2019'!$A$2:$F$327,5,FALSE),"")</f>
        <v>1A</v>
      </c>
      <c r="K21" s="195" t="str">
        <f>IFERROR(VLOOKUP(C21,'NPRI List 2019'!$A$262:$F$326,5,FALSE),"")</f>
        <v/>
      </c>
    </row>
    <row r="22" spans="2:11" ht="15">
      <c r="B22" s="231" t="s">
        <v>74</v>
      </c>
      <c r="C22" s="200" t="s">
        <v>75</v>
      </c>
      <c r="D22" s="199">
        <v>4.8400000000000002E-6</v>
      </c>
      <c r="E22" s="229">
        <f t="shared" si="2"/>
        <v>5.7996048298573011E-7</v>
      </c>
      <c r="F22" s="232" t="s">
        <v>720</v>
      </c>
      <c r="G22" s="194">
        <f>'Input Information'!$B$33*E22</f>
        <v>0</v>
      </c>
      <c r="H22" s="194">
        <f t="shared" si="3"/>
        <v>0</v>
      </c>
      <c r="J22" s="195">
        <f>IFERROR(VLOOKUP(C22,'NPRI List 2019'!$A$2:$F$327,5,FALSE),"")</f>
        <v>2</v>
      </c>
      <c r="K22" s="195" t="str">
        <f>IFERROR(VLOOKUP(C22,'NPRI List 2019'!$A$262:$F$326,5,FALSE),"")</f>
        <v/>
      </c>
    </row>
    <row r="23" spans="2:11" ht="15">
      <c r="B23" s="231" t="s">
        <v>31</v>
      </c>
      <c r="C23" s="200" t="s">
        <v>32</v>
      </c>
      <c r="D23" s="199">
        <f>AVERAGE(0.035,0.061)</f>
        <v>4.8000000000000001E-2</v>
      </c>
      <c r="E23" s="229">
        <f t="shared" si="2"/>
        <v>5.7516742114287287E-3</v>
      </c>
      <c r="F23" s="232" t="s">
        <v>822</v>
      </c>
      <c r="G23" s="194">
        <f>'Input Information'!$B$33*E23</f>
        <v>0</v>
      </c>
      <c r="H23" s="194">
        <f t="shared" si="3"/>
        <v>0</v>
      </c>
      <c r="J23" s="195" t="str">
        <f>IFERROR(VLOOKUP(C23,'NPRI List 2019'!$A$2:$F$327,5,FALSE),"")</f>
        <v>1A</v>
      </c>
      <c r="K23" s="195">
        <f>IFERROR(VLOOKUP(C23,'NPRI List 2019'!$A$262:$F$326,5,FALSE),"")</f>
        <v>5</v>
      </c>
    </row>
    <row r="24" spans="2:11" ht="15">
      <c r="B24" s="231" t="s">
        <v>76</v>
      </c>
      <c r="C24" s="200" t="s">
        <v>77</v>
      </c>
      <c r="D24" s="199">
        <v>2.1399999999999998E-6</v>
      </c>
      <c r="E24" s="229">
        <f t="shared" si="2"/>
        <v>2.5642880859286413E-7</v>
      </c>
      <c r="F24" s="232" t="s">
        <v>720</v>
      </c>
      <c r="G24" s="194">
        <f>'Input Information'!$B$33*E24</f>
        <v>0</v>
      </c>
      <c r="H24" s="194">
        <f t="shared" si="3"/>
        <v>0</v>
      </c>
      <c r="J24" s="195">
        <f>IFERROR(VLOOKUP(C24,'NPRI List 2019'!$A$2:$F$327,5,FALSE),"")</f>
        <v>2</v>
      </c>
      <c r="K24" s="195" t="str">
        <f>IFERROR(VLOOKUP(C24,'NPRI List 2019'!$A$262:$F$326,5,FALSE),"")</f>
        <v/>
      </c>
    </row>
    <row r="25" spans="2:11" ht="15">
      <c r="B25" s="231" t="s">
        <v>35</v>
      </c>
      <c r="C25" s="200" t="s">
        <v>36</v>
      </c>
      <c r="D25" s="199">
        <v>1.1299999999999999E-3</v>
      </c>
      <c r="E25" s="229">
        <f t="shared" si="2"/>
        <v>1.3540399706071796E-4</v>
      </c>
      <c r="F25" s="232" t="s">
        <v>720</v>
      </c>
      <c r="G25" s="194">
        <f>'Input Information'!$B$33*E25</f>
        <v>0</v>
      </c>
      <c r="H25" s="194">
        <f t="shared" si="3"/>
        <v>0</v>
      </c>
      <c r="J25" s="195" t="str">
        <f>IFERROR(VLOOKUP(C25,'NPRI List 2019'!$A$2:$F$327,5,FALSE),"")</f>
        <v>1A</v>
      </c>
      <c r="K25" s="195" t="str">
        <f>IFERROR(VLOOKUP(C25,'NPRI List 2019'!$A$262:$F$326,5,FALSE),"")</f>
        <v/>
      </c>
    </row>
    <row r="26" spans="2:11" ht="15">
      <c r="B26" s="231" t="s">
        <v>78</v>
      </c>
      <c r="C26" s="200" t="s">
        <v>79</v>
      </c>
      <c r="D26" s="199">
        <v>3.1E-9</v>
      </c>
      <c r="E26" s="229">
        <f t="shared" si="2"/>
        <v>3.7146229282143872E-10</v>
      </c>
      <c r="F26" s="232" t="s">
        <v>822</v>
      </c>
      <c r="G26" s="194">
        <f>'Input Information'!$B$33*E26</f>
        <v>0</v>
      </c>
      <c r="H26" s="194">
        <f t="shared" si="3"/>
        <v>0</v>
      </c>
      <c r="J26" s="195">
        <f>IFERROR(VLOOKUP(C26,'NPRI List 2019'!$A$2:$F$327,5,FALSE),"")</f>
        <v>3</v>
      </c>
      <c r="K26" s="195" t="str">
        <f>IFERROR(VLOOKUP(C26,'NPRI List 2019'!$A$262:$F$326,5,FALSE),"")</f>
        <v/>
      </c>
    </row>
    <row r="27" spans="2:11" ht="15">
      <c r="B27" s="231" t="s">
        <v>80</v>
      </c>
      <c r="C27" s="200" t="s">
        <v>81</v>
      </c>
      <c r="D27" s="199">
        <v>1.0499999999999999E-5</v>
      </c>
      <c r="E27" s="229">
        <f t="shared" si="2"/>
        <v>1.2581787337500342E-6</v>
      </c>
      <c r="F27" s="232" t="s">
        <v>822</v>
      </c>
      <c r="G27" s="194">
        <f>'Input Information'!$B$33*E27</f>
        <v>0</v>
      </c>
      <c r="H27" s="194">
        <f t="shared" si="3"/>
        <v>0</v>
      </c>
      <c r="J27" s="195">
        <f>IFERROR(VLOOKUP(C27,'NPRI List 2019'!$A$2:$F$327,5,FALSE),"")</f>
        <v>2</v>
      </c>
      <c r="K27" s="195" t="str">
        <f>IFERROR(VLOOKUP(C27,'NPRI List 2019'!$A$262:$F$326,5,FALSE),"")</f>
        <v/>
      </c>
    </row>
    <row r="28" spans="2:11" ht="15">
      <c r="B28" s="231" t="s">
        <v>82</v>
      </c>
      <c r="C28" s="200" t="s">
        <v>83</v>
      </c>
      <c r="D28" s="199">
        <v>4.25E-6</v>
      </c>
      <c r="E28" s="229">
        <f t="shared" si="2"/>
        <v>5.092628208035853E-7</v>
      </c>
      <c r="F28" s="232" t="s">
        <v>720</v>
      </c>
      <c r="G28" s="194">
        <f>'Input Information'!$B$33*E28</f>
        <v>0</v>
      </c>
      <c r="H28" s="194">
        <f t="shared" si="3"/>
        <v>0</v>
      </c>
      <c r="J28" s="195">
        <f>IFERROR(VLOOKUP(C28,'NPRI List 2019'!$A$2:$F$327,5,FALSE),"")</f>
        <v>2</v>
      </c>
      <c r="K28" s="195" t="str">
        <f>IFERROR(VLOOKUP(C28,'NPRI List 2019'!$A$262:$F$326,5,FALSE),"")</f>
        <v/>
      </c>
    </row>
    <row r="29" spans="2:11" ht="15">
      <c r="B29" s="231" t="s">
        <v>84</v>
      </c>
      <c r="C29" s="200" t="s">
        <v>85</v>
      </c>
      <c r="D29" s="199">
        <v>6.1999999999999998E-3</v>
      </c>
      <c r="E29" s="229">
        <f t="shared" si="2"/>
        <v>7.4292458564287735E-4</v>
      </c>
      <c r="F29" s="232" t="s">
        <v>755</v>
      </c>
      <c r="G29" s="194">
        <f>'Input Information'!$B$33*E29</f>
        <v>0</v>
      </c>
      <c r="H29" s="194">
        <f t="shared" si="3"/>
        <v>0</v>
      </c>
      <c r="J29" s="195" t="str">
        <f>IFERROR(VLOOKUP(C29,'NPRI List 2019'!$A$2:$F$327,5,FALSE),"")</f>
        <v>1A</v>
      </c>
      <c r="K29" s="195">
        <f>IFERROR(VLOOKUP(C29,'NPRI List 2019'!$A$262:$F$326,5,FALSE),"")</f>
        <v>5</v>
      </c>
    </row>
    <row r="30" spans="2:11" ht="15">
      <c r="B30" s="204" t="s">
        <v>475</v>
      </c>
      <c r="C30" s="200" t="s">
        <v>86</v>
      </c>
      <c r="D30" s="199">
        <v>1.0900000000000001E-4</v>
      </c>
      <c r="E30" s="229">
        <f t="shared" si="2"/>
        <v>1.3061093521786072E-5</v>
      </c>
      <c r="F30" s="232" t="s">
        <v>822</v>
      </c>
      <c r="G30" s="194">
        <f>'Input Information'!$B$33*E30</f>
        <v>0</v>
      </c>
      <c r="H30" s="194">
        <f t="shared" si="3"/>
        <v>0</v>
      </c>
      <c r="J30" s="195" t="str">
        <f>IFERROR(VLOOKUP(C30,'NPRI List 2019'!$A$2:$F$327,5,FALSE),"")</f>
        <v>1A</v>
      </c>
      <c r="K30" s="195">
        <f>IFERROR(VLOOKUP(C30,'NPRI List 2019'!$A$262:$F$326,5,FALSE),"")</f>
        <v>5</v>
      </c>
    </row>
    <row r="31" spans="2:11" ht="15">
      <c r="B31" s="201" t="s">
        <v>508</v>
      </c>
      <c r="C31" s="203" t="s">
        <v>507</v>
      </c>
      <c r="D31" s="199">
        <v>2.1100000000000001E-5</v>
      </c>
      <c r="E31" s="229">
        <f t="shared" si="2"/>
        <v>2.528340122107212E-6</v>
      </c>
      <c r="F31" s="232" t="s">
        <v>720</v>
      </c>
      <c r="G31" s="194">
        <f>'Input Information'!$B$33*E31</f>
        <v>0</v>
      </c>
      <c r="H31" s="194">
        <f t="shared" si="3"/>
        <v>0</v>
      </c>
      <c r="J31" s="195">
        <f>IFERROR(VLOOKUP(C31,'NPRI List 2019'!$A$2:$F$327,5,FALSE),"")</f>
        <v>2</v>
      </c>
      <c r="K31" s="195" t="str">
        <f>IFERROR(VLOOKUP(C31,'NPRI List 2019'!$A$262:$F$326,5,FALSE),"")</f>
        <v/>
      </c>
    </row>
    <row r="32" spans="2:11" ht="15">
      <c r="B32" s="201" t="s">
        <v>877</v>
      </c>
      <c r="C32" s="203" t="s">
        <v>510</v>
      </c>
      <c r="D32" s="199">
        <v>2.53E-7</v>
      </c>
      <c r="E32" s="229">
        <f t="shared" si="2"/>
        <v>3.0316116156072255E-8</v>
      </c>
      <c r="F32" s="232" t="s">
        <v>755</v>
      </c>
      <c r="G32" s="194">
        <f>'Input Information'!$B$33*E32</f>
        <v>0</v>
      </c>
      <c r="H32" s="194">
        <f t="shared" si="3"/>
        <v>0</v>
      </c>
      <c r="J32" s="195">
        <f>IFERROR(VLOOKUP(C32,'NPRI List 2019'!$A$2:$F$327,5,FALSE),"")</f>
        <v>2</v>
      </c>
      <c r="K32" s="195" t="str">
        <f>IFERROR(VLOOKUP(C32,'NPRI List 2019'!$A$262:$F$326,5,FALSE),"")</f>
        <v/>
      </c>
    </row>
    <row r="33" spans="2:11" ht="15">
      <c r="B33" s="201" t="s">
        <v>545</v>
      </c>
      <c r="C33" s="203" t="s">
        <v>544</v>
      </c>
      <c r="D33" s="199">
        <v>4.4700000000000004E-6</v>
      </c>
      <c r="E33" s="229">
        <f t="shared" si="2"/>
        <v>5.3562466093930034E-7</v>
      </c>
      <c r="F33" s="232" t="s">
        <v>720</v>
      </c>
      <c r="G33" s="194">
        <f>'Input Information'!$B$33*E33</f>
        <v>0</v>
      </c>
      <c r="H33" s="194">
        <f t="shared" si="3"/>
        <v>0</v>
      </c>
      <c r="J33" s="195">
        <f>IFERROR(VLOOKUP(C33,'NPRI List 2019'!$A$2:$F$327,5,FALSE),"")</f>
        <v>2</v>
      </c>
      <c r="K33" s="195" t="str">
        <f>IFERROR(VLOOKUP(C33,'NPRI List 2019'!$A$262:$F$326,5,FALSE),"")</f>
        <v/>
      </c>
    </row>
    <row r="34" spans="2:11" ht="6" customHeight="1">
      <c r="B34" s="233"/>
      <c r="C34" s="234"/>
      <c r="D34" s="235"/>
      <c r="E34" s="235"/>
      <c r="F34" s="235"/>
      <c r="G34" s="236"/>
      <c r="H34" s="236"/>
      <c r="J34" s="205"/>
      <c r="K34" s="205"/>
    </row>
    <row r="35" spans="2:11" ht="18.75">
      <c r="B35" s="206" t="s">
        <v>867</v>
      </c>
      <c r="C35" s="237"/>
      <c r="D35" s="238"/>
      <c r="E35" s="235"/>
      <c r="F35" s="235"/>
      <c r="G35" s="236"/>
      <c r="H35" s="236"/>
      <c r="J35" s="205"/>
      <c r="K35" s="205"/>
    </row>
    <row r="36" spans="2:11" ht="15">
      <c r="B36" s="206" t="s">
        <v>735</v>
      </c>
      <c r="C36" s="237"/>
      <c r="D36" s="238"/>
      <c r="E36" s="235"/>
      <c r="F36" s="235"/>
      <c r="G36" s="236"/>
      <c r="H36" s="236"/>
      <c r="J36" s="205"/>
      <c r="K36" s="205"/>
    </row>
    <row r="37" spans="2:11">
      <c r="J37" s="205" t="str">
        <f>IFERROR(VLOOKUP(C37,'NPRI List 2019'!$A$2:$F$327,5,FALSE),"")</f>
        <v/>
      </c>
      <c r="K37" s="205" t="str">
        <f>IFERROR(VLOOKUP(C37,'NPRI List 2019'!$A$262:$F$326,5,FALSE),"")</f>
        <v/>
      </c>
    </row>
    <row r="38" spans="2:11" ht="36.6" customHeight="1">
      <c r="B38" s="308" t="s">
        <v>87</v>
      </c>
      <c r="C38" s="346" t="s">
        <v>803</v>
      </c>
      <c r="D38" s="310" t="s">
        <v>25</v>
      </c>
      <c r="E38" s="310"/>
      <c r="F38" s="311" t="s">
        <v>819</v>
      </c>
      <c r="G38" s="185" t="s">
        <v>766</v>
      </c>
      <c r="H38" s="185" t="s">
        <v>767</v>
      </c>
      <c r="J38" s="311" t="s">
        <v>93</v>
      </c>
      <c r="K38" s="311" t="s">
        <v>94</v>
      </c>
    </row>
    <row r="39" spans="2:11" ht="16.5">
      <c r="B39" s="308"/>
      <c r="C39" s="346"/>
      <c r="D39" s="239" t="s">
        <v>868</v>
      </c>
      <c r="E39" s="195" t="s">
        <v>855</v>
      </c>
      <c r="F39" s="312"/>
      <c r="G39" s="186" t="s">
        <v>26</v>
      </c>
      <c r="H39" s="228" t="s">
        <v>26</v>
      </c>
      <c r="J39" s="312"/>
      <c r="K39" s="312"/>
    </row>
    <row r="40" spans="2:11" ht="15">
      <c r="B40" s="201" t="s">
        <v>39</v>
      </c>
      <c r="C40" s="240" t="s">
        <v>40</v>
      </c>
      <c r="D40" s="239">
        <v>4</v>
      </c>
      <c r="E40" s="229">
        <f>$B$55*D40*1000000000/1000000000000/2.20462/1055.06</f>
        <v>6.7067743893200199E-5</v>
      </c>
      <c r="F40" s="232" t="s">
        <v>822</v>
      </c>
      <c r="G40" s="194">
        <f>'Input Information'!$B$33*E40</f>
        <v>0</v>
      </c>
      <c r="H40" s="194">
        <f>(1-('Input Information'!$D$67/100))*G40</f>
        <v>0</v>
      </c>
      <c r="J40" s="195" t="str">
        <f>IFERROR(VLOOKUP(C40,'NPRI List 2019'!$A$2:$F$327,5,FALSE),"")</f>
        <v>1B</v>
      </c>
      <c r="K40" s="195" t="str">
        <f>IFERROR(VLOOKUP(C40,'NPRI List 2019'!$A$262:$F$326,5,FALSE),"")</f>
        <v/>
      </c>
    </row>
    <row r="41" spans="2:11" ht="15">
      <c r="B41" s="201" t="s">
        <v>41</v>
      </c>
      <c r="C41" s="240" t="s">
        <v>42</v>
      </c>
      <c r="D41" s="239">
        <v>3</v>
      </c>
      <c r="E41" s="229">
        <f t="shared" ref="E41:E49" si="4">$B$55*D41*1000000000/1000000000000/2.20462/1055.06</f>
        <v>5.030080791990016E-5</v>
      </c>
      <c r="F41" s="232" t="s">
        <v>822</v>
      </c>
      <c r="G41" s="194">
        <f>'Input Information'!$B$33*E41</f>
        <v>0</v>
      </c>
      <c r="H41" s="194">
        <f>(1-('Input Information'!$D$67/100))*G41</f>
        <v>0</v>
      </c>
      <c r="J41" s="195" t="str">
        <f>IFERROR(VLOOKUP(C41,'NPRI List 2019'!$A$2:$F$327,5,FALSE),"")</f>
        <v>1B</v>
      </c>
      <c r="K41" s="195" t="str">
        <f>IFERROR(VLOOKUP(C41,'NPRI List 2019'!$A$262:$F$326,5,FALSE),"")</f>
        <v/>
      </c>
    </row>
    <row r="42" spans="2:11" ht="15">
      <c r="B42" s="201" t="s">
        <v>88</v>
      </c>
      <c r="C42" s="240" t="s">
        <v>30</v>
      </c>
      <c r="D42" s="239">
        <v>3</v>
      </c>
      <c r="E42" s="229">
        <f t="shared" si="4"/>
        <v>5.030080791990016E-5</v>
      </c>
      <c r="F42" s="232" t="s">
        <v>822</v>
      </c>
      <c r="G42" s="194">
        <f>'Input Information'!$B$33*E42</f>
        <v>0</v>
      </c>
      <c r="H42" s="194">
        <f>(1-('Input Information'!$D$67/100))*G42</f>
        <v>0</v>
      </c>
      <c r="J42" s="195" t="str">
        <f>IFERROR(VLOOKUP(C42,'NPRI List 2019'!$A$2:$F$327,5,FALSE),"")</f>
        <v>1A</v>
      </c>
      <c r="K42" s="195" t="str">
        <f>IFERROR(VLOOKUP(C42,'NPRI List 2019'!$A$262:$F$326,5,FALSE),"")</f>
        <v/>
      </c>
    </row>
    <row r="43" spans="2:11" ht="15">
      <c r="B43" s="201" t="s">
        <v>89</v>
      </c>
      <c r="C43" s="240" t="s">
        <v>90</v>
      </c>
      <c r="D43" s="239">
        <v>6</v>
      </c>
      <c r="E43" s="229">
        <f t="shared" si="4"/>
        <v>1.0060161583980032E-4</v>
      </c>
      <c r="F43" s="232" t="s">
        <v>822</v>
      </c>
      <c r="G43" s="194">
        <f>'Input Information'!$B$33*E43</f>
        <v>0</v>
      </c>
      <c r="H43" s="194">
        <f>(1-('Input Information'!$D$67/100))*G43</f>
        <v>0</v>
      </c>
      <c r="J43" s="195" t="str">
        <f>IFERROR(VLOOKUP(C43,'NPRI List 2019'!$A$2:$F$327,5,FALSE),"")</f>
        <v>1A</v>
      </c>
      <c r="K43" s="195" t="str">
        <f>IFERROR(VLOOKUP(C43,'NPRI List 2019'!$A$262:$F$326,5,FALSE),"")</f>
        <v/>
      </c>
    </row>
    <row r="44" spans="2:11" ht="15">
      <c r="B44" s="201" t="s">
        <v>43</v>
      </c>
      <c r="C44" s="240" t="s">
        <v>44</v>
      </c>
      <c r="D44" s="239">
        <v>9</v>
      </c>
      <c r="E44" s="229">
        <f t="shared" si="4"/>
        <v>1.5090242375970044E-4</v>
      </c>
      <c r="F44" s="232" t="s">
        <v>822</v>
      </c>
      <c r="G44" s="194">
        <f>'Input Information'!$B$33*E44</f>
        <v>0</v>
      </c>
      <c r="H44" s="194">
        <f>(1-('Input Information'!$D$67/100))*G44</f>
        <v>0</v>
      </c>
      <c r="J44" s="195" t="str">
        <f>IFERROR(VLOOKUP(C44,'NPRI List 2019'!$A$2:$F$327,5,FALSE),"")</f>
        <v>1B</v>
      </c>
      <c r="K44" s="195" t="str">
        <f>IFERROR(VLOOKUP(C44,'NPRI List 2019'!$A$262:$F$326,5,FALSE),"")</f>
        <v/>
      </c>
    </row>
    <row r="45" spans="2:11" ht="15">
      <c r="B45" s="201" t="s">
        <v>33</v>
      </c>
      <c r="C45" s="240" t="s">
        <v>34</v>
      </c>
      <c r="D45" s="239">
        <v>6</v>
      </c>
      <c r="E45" s="229">
        <f t="shared" si="4"/>
        <v>1.0060161583980032E-4</v>
      </c>
      <c r="F45" s="232" t="s">
        <v>822</v>
      </c>
      <c r="G45" s="194">
        <f>'Input Information'!$B$33*E45</f>
        <v>0</v>
      </c>
      <c r="H45" s="194">
        <f>(1-('Input Information'!$D$67/100))*G45</f>
        <v>0</v>
      </c>
      <c r="J45" s="195" t="str">
        <f>IFERROR(VLOOKUP(C45,'NPRI List 2019'!$A$2:$F$327,5,FALSE),"")</f>
        <v>1A</v>
      </c>
      <c r="K45" s="195" t="str">
        <f>IFERROR(VLOOKUP(C45,'NPRI List 2019'!$A$262:$F$326,5,FALSE),"")</f>
        <v/>
      </c>
    </row>
    <row r="46" spans="2:11" ht="15">
      <c r="B46" s="201" t="s">
        <v>45</v>
      </c>
      <c r="C46" s="240" t="s">
        <v>46</v>
      </c>
      <c r="D46" s="239">
        <v>3</v>
      </c>
      <c r="E46" s="229">
        <f t="shared" si="4"/>
        <v>5.030080791990016E-5</v>
      </c>
      <c r="F46" s="232" t="s">
        <v>822</v>
      </c>
      <c r="G46" s="194">
        <f>'Input Information'!$B$33*E46</f>
        <v>0</v>
      </c>
      <c r="H46" s="194">
        <f>(1-('Input Information'!$D$67/100))*G46</f>
        <v>0</v>
      </c>
      <c r="J46" s="195" t="str">
        <f>IFERROR(VLOOKUP(C46,'NPRI List 2019'!$A$2:$F$327,5,FALSE),"")</f>
        <v>1B</v>
      </c>
      <c r="K46" s="195" t="str">
        <f>IFERROR(VLOOKUP(C46,'NPRI List 2019'!$A$262:$F$326,5,FALSE),"")</f>
        <v/>
      </c>
    </row>
    <row r="47" spans="2:11" ht="15">
      <c r="B47" s="201" t="s">
        <v>37</v>
      </c>
      <c r="C47" s="240" t="s">
        <v>38</v>
      </c>
      <c r="D47" s="239">
        <v>3</v>
      </c>
      <c r="E47" s="229">
        <f t="shared" si="4"/>
        <v>5.030080791990016E-5</v>
      </c>
      <c r="F47" s="232" t="s">
        <v>822</v>
      </c>
      <c r="G47" s="194">
        <f>'Input Information'!$B$33*E47</f>
        <v>0</v>
      </c>
      <c r="H47" s="194">
        <f>(1-('Input Information'!$D$67/100))*G47</f>
        <v>0</v>
      </c>
      <c r="J47" s="195" t="str">
        <f>IFERROR(VLOOKUP(C47,'NPRI List 2019'!$A$2:$F$327,5,FALSE),"")</f>
        <v>1A</v>
      </c>
      <c r="K47" s="195" t="str">
        <f>IFERROR(VLOOKUP(C47,'NPRI List 2019'!$A$262:$F$326,5,FALSE),"")</f>
        <v/>
      </c>
    </row>
    <row r="48" spans="2:11" ht="15">
      <c r="B48" s="201" t="s">
        <v>47</v>
      </c>
      <c r="C48" s="240" t="s">
        <v>48</v>
      </c>
      <c r="D48" s="239">
        <v>15</v>
      </c>
      <c r="E48" s="229">
        <f t="shared" si="4"/>
        <v>2.5150403959950076E-4</v>
      </c>
      <c r="F48" s="232" t="s">
        <v>822</v>
      </c>
      <c r="G48" s="194">
        <f>'Input Information'!$B$33*E48</f>
        <v>0</v>
      </c>
      <c r="H48" s="194">
        <f>(1-('Input Information'!$D$67/100))*G48</f>
        <v>0</v>
      </c>
      <c r="J48" s="195" t="str">
        <f>IFERROR(VLOOKUP(C48,'NPRI List 2019'!$A$2:$F$327,5,FALSE),"")</f>
        <v>1B</v>
      </c>
      <c r="K48" s="195" t="str">
        <f>IFERROR(VLOOKUP(C48,'NPRI List 2019'!$A$262:$F$326,5,FALSE),"")</f>
        <v/>
      </c>
    </row>
    <row r="49" spans="2:11" ht="15">
      <c r="B49" s="201" t="s">
        <v>91</v>
      </c>
      <c r="C49" s="240" t="s">
        <v>92</v>
      </c>
      <c r="D49" s="239">
        <v>4</v>
      </c>
      <c r="E49" s="229">
        <f t="shared" si="4"/>
        <v>6.7067743893200199E-5</v>
      </c>
      <c r="F49" s="232" t="s">
        <v>822</v>
      </c>
      <c r="G49" s="194">
        <f>'Input Information'!$B$33*E49</f>
        <v>0</v>
      </c>
      <c r="H49" s="194">
        <f>(1-('Input Information'!$D$67/100))*G49</f>
        <v>0</v>
      </c>
      <c r="J49" s="195" t="str">
        <f>IFERROR(VLOOKUP(C49,'NPRI List 2019'!$A$2:$F$327,5,FALSE),"")</f>
        <v>1A</v>
      </c>
      <c r="K49" s="195" t="str">
        <f>IFERROR(VLOOKUP(C49,'NPRI List 2019'!$A$262:$F$326,5,FALSE),"")</f>
        <v/>
      </c>
    </row>
    <row r="50" spans="2:11" ht="2.25" customHeight="1">
      <c r="B50" s="241"/>
      <c r="C50" s="237"/>
      <c r="D50" s="205"/>
      <c r="E50" s="235"/>
      <c r="F50" s="235"/>
      <c r="G50" s="236"/>
      <c r="H50" s="236"/>
      <c r="J50" s="205"/>
      <c r="K50" s="205"/>
    </row>
    <row r="51" spans="2:11" ht="15">
      <c r="B51" s="241" t="s">
        <v>736</v>
      </c>
      <c r="C51" s="237"/>
      <c r="D51" s="205"/>
      <c r="E51" s="235"/>
      <c r="F51" s="235"/>
      <c r="G51" s="236"/>
      <c r="H51" s="236"/>
      <c r="J51" s="205"/>
      <c r="K51" s="205"/>
    </row>
    <row r="53" spans="2:11">
      <c r="B53" s="227" t="s">
        <v>888</v>
      </c>
    </row>
    <row r="54" spans="2:11" ht="16.5">
      <c r="B54" s="227" t="s">
        <v>869</v>
      </c>
    </row>
    <row r="55" spans="2:11">
      <c r="B55" s="242">
        <f>'Input Information'!$C$16</f>
        <v>39</v>
      </c>
    </row>
    <row r="58" spans="2:11" ht="18.75">
      <c r="B58" s="331" t="s">
        <v>870</v>
      </c>
      <c r="C58" s="331"/>
      <c r="D58" s="331"/>
      <c r="E58" s="331"/>
      <c r="F58" s="253"/>
    </row>
    <row r="59" spans="2:11" ht="4.5" customHeight="1"/>
    <row r="60" spans="2:11" ht="15">
      <c r="B60" s="243" t="s">
        <v>722</v>
      </c>
      <c r="C60" s="244"/>
      <c r="D60" s="332" t="s">
        <v>726</v>
      </c>
      <c r="E60" s="332"/>
    </row>
    <row r="61" spans="2:11" ht="15">
      <c r="B61" s="243" t="s">
        <v>723</v>
      </c>
      <c r="C61" s="244"/>
      <c r="D61" s="249" t="s">
        <v>725</v>
      </c>
      <c r="E61" s="249" t="str">
        <f>'Input Information'!$H$37</f>
        <v>I</v>
      </c>
    </row>
    <row r="62" spans="2:11" ht="15">
      <c r="B62" s="243" t="s">
        <v>724</v>
      </c>
      <c r="C62" s="244"/>
      <c r="D62" s="244"/>
      <c r="E62" s="244"/>
    </row>
    <row r="63" spans="2:11" ht="7.5" customHeight="1" thickBot="1">
      <c r="B63" s="245"/>
      <c r="C63" s="246"/>
      <c r="D63" s="246"/>
      <c r="E63" s="246"/>
    </row>
    <row r="64" spans="2:11" ht="16.5" customHeight="1">
      <c r="B64" s="344" t="s">
        <v>871</v>
      </c>
      <c r="C64" s="345"/>
      <c r="D64" s="341" t="s">
        <v>819</v>
      </c>
      <c r="E64" s="327" t="s">
        <v>887</v>
      </c>
    </row>
    <row r="65" spans="2:5" ht="15" customHeight="1">
      <c r="B65" s="318" t="s">
        <v>729</v>
      </c>
      <c r="C65" s="250"/>
      <c r="D65" s="343"/>
      <c r="E65" s="328"/>
    </row>
    <row r="66" spans="2:5" ht="17.25" customHeight="1" thickBot="1">
      <c r="B66" s="318"/>
      <c r="C66" s="249" t="s">
        <v>837</v>
      </c>
      <c r="D66" s="258" t="s">
        <v>839</v>
      </c>
      <c r="E66" s="329"/>
    </row>
    <row r="67" spans="2:5" ht="15" thickBot="1">
      <c r="B67" s="265" t="s">
        <v>719</v>
      </c>
      <c r="C67" s="224">
        <v>1</v>
      </c>
      <c r="D67" s="259" t="s">
        <v>822</v>
      </c>
      <c r="E67" s="256">
        <f>INDEX($C$67:$D$69,MATCH($E$61,$B$67:$B$69,0),MATCH("EF",$C$66:$D$66,0))</f>
        <v>1</v>
      </c>
    </row>
    <row r="68" spans="2:5" ht="15" thickBot="1">
      <c r="B68" s="265" t="s">
        <v>720</v>
      </c>
      <c r="C68" s="224">
        <v>1.08</v>
      </c>
      <c r="D68" s="259" t="s">
        <v>755</v>
      </c>
      <c r="E68" s="257" t="str">
        <f>INDEX($C$67:$D$69,MATCH($E$61,$B$67:$B$69,0),MATCH("Rating",$C$66:$D$66,0))</f>
        <v>E</v>
      </c>
    </row>
    <row r="69" spans="2:5" ht="15" thickBot="1">
      <c r="B69" s="266" t="s">
        <v>721</v>
      </c>
      <c r="C69" s="260">
        <v>1</v>
      </c>
      <c r="D69" s="261" t="s">
        <v>822</v>
      </c>
    </row>
    <row r="70" spans="2:5" ht="3" customHeight="1">
      <c r="B70" s="243"/>
      <c r="C70" s="244"/>
      <c r="D70" s="246"/>
      <c r="E70" s="246"/>
    </row>
    <row r="71" spans="2:5" ht="15">
      <c r="B71" s="263" t="s">
        <v>889</v>
      </c>
      <c r="C71" s="244"/>
      <c r="D71" s="246"/>
      <c r="E71" s="246"/>
    </row>
    <row r="72" spans="2:5" ht="15">
      <c r="B72" s="263" t="s">
        <v>838</v>
      </c>
      <c r="C72" s="244"/>
      <c r="D72" s="246"/>
      <c r="E72" s="246"/>
    </row>
    <row r="73" spans="2:5" ht="15">
      <c r="B73" s="264" t="s">
        <v>890</v>
      </c>
      <c r="C73" s="244"/>
      <c r="D73" s="246"/>
      <c r="E73" s="246"/>
    </row>
    <row r="74" spans="2:5" ht="15.75" thickBot="1">
      <c r="B74" s="243"/>
      <c r="C74" s="244"/>
      <c r="D74" s="246"/>
      <c r="E74" s="246"/>
    </row>
    <row r="75" spans="2:5" ht="16.5">
      <c r="B75" s="344" t="s">
        <v>872</v>
      </c>
      <c r="C75" s="345"/>
      <c r="D75" s="341" t="s">
        <v>819</v>
      </c>
      <c r="E75" s="327" t="s">
        <v>887</v>
      </c>
    </row>
    <row r="76" spans="2:5">
      <c r="B76" s="318" t="s">
        <v>729</v>
      </c>
      <c r="C76" s="250"/>
      <c r="D76" s="343"/>
      <c r="E76" s="328"/>
    </row>
    <row r="77" spans="2:5" ht="15" thickBot="1">
      <c r="B77" s="318"/>
      <c r="C77" s="249" t="s">
        <v>837</v>
      </c>
      <c r="D77" s="258" t="s">
        <v>839</v>
      </c>
      <c r="E77" s="329"/>
    </row>
    <row r="78" spans="2:5" ht="15" thickBot="1">
      <c r="B78" s="265" t="s">
        <v>719</v>
      </c>
      <c r="C78" s="224">
        <v>0.25</v>
      </c>
      <c r="D78" s="259" t="s">
        <v>822</v>
      </c>
      <c r="E78" s="262">
        <f>INDEX($C$78:$D$80,MATCH($E$61,$B$78:$B$80,0),MATCH("EF",$C$77:$D$77,0))</f>
        <v>0.25</v>
      </c>
    </row>
    <row r="79" spans="2:5" ht="15" thickBot="1">
      <c r="B79" s="265" t="s">
        <v>720</v>
      </c>
      <c r="C79" s="224">
        <v>0.83</v>
      </c>
      <c r="D79" s="259" t="s">
        <v>755</v>
      </c>
      <c r="E79" s="257" t="str">
        <f>INDEX($C$67:$D$69,MATCH($E$61,$B$67:$B$69,0),MATCH("Rating",$C$66:$D$66,0))</f>
        <v>E</v>
      </c>
    </row>
    <row r="80" spans="2:5" ht="15" thickBot="1">
      <c r="B80" s="266" t="s">
        <v>721</v>
      </c>
      <c r="C80" s="260">
        <v>0.25</v>
      </c>
      <c r="D80" s="261" t="s">
        <v>822</v>
      </c>
    </row>
    <row r="81" spans="2:5" ht="3.75" customHeight="1">
      <c r="B81" s="243"/>
      <c r="C81" s="244"/>
      <c r="D81" s="246"/>
      <c r="E81" s="246"/>
    </row>
    <row r="82" spans="2:5" ht="15">
      <c r="B82" s="263" t="s">
        <v>889</v>
      </c>
      <c r="C82" s="244"/>
      <c r="D82" s="246"/>
      <c r="E82" s="246"/>
    </row>
    <row r="83" spans="2:5" ht="15">
      <c r="B83" s="263" t="s">
        <v>838</v>
      </c>
      <c r="C83" s="244"/>
      <c r="D83" s="246"/>
      <c r="E83" s="246"/>
    </row>
    <row r="84" spans="2:5" ht="15">
      <c r="B84" s="264" t="s">
        <v>890</v>
      </c>
      <c r="C84" s="244"/>
      <c r="D84" s="246"/>
      <c r="E84" s="246"/>
    </row>
    <row r="85" spans="2:5" ht="15.75" thickBot="1">
      <c r="B85" s="243"/>
      <c r="C85" s="244"/>
      <c r="D85" s="246"/>
      <c r="E85" s="246"/>
    </row>
    <row r="86" spans="2:5" ht="17.25" customHeight="1">
      <c r="B86" s="344" t="s">
        <v>873</v>
      </c>
      <c r="C86" s="345"/>
      <c r="D86" s="341" t="s">
        <v>819</v>
      </c>
      <c r="E86" s="327" t="s">
        <v>887</v>
      </c>
    </row>
    <row r="87" spans="2:5">
      <c r="B87" s="318" t="s">
        <v>729</v>
      </c>
      <c r="C87" s="250"/>
      <c r="D87" s="343"/>
      <c r="E87" s="328"/>
    </row>
    <row r="88" spans="2:5" ht="15" thickBot="1">
      <c r="B88" s="318"/>
      <c r="C88" s="249" t="s">
        <v>837</v>
      </c>
      <c r="D88" s="258" t="s">
        <v>839</v>
      </c>
      <c r="E88" s="329"/>
    </row>
    <row r="89" spans="2:5" ht="15" thickBot="1">
      <c r="B89" s="265" t="s">
        <v>719</v>
      </c>
      <c r="C89" s="224">
        <v>0.2</v>
      </c>
      <c r="D89" s="259" t="s">
        <v>821</v>
      </c>
      <c r="E89" s="255">
        <f>INDEX($C$89:$D$91,MATCH($E$61,$B$89:$B$91,0),MATCH("EF",$C$88:$D$88,0))</f>
        <v>0.2</v>
      </c>
    </row>
    <row r="90" spans="2:5" ht="15" thickBot="1">
      <c r="B90" s="265" t="s">
        <v>720</v>
      </c>
      <c r="C90" s="224">
        <v>0.34</v>
      </c>
      <c r="D90" s="259" t="s">
        <v>821</v>
      </c>
      <c r="E90" s="247" t="str">
        <f>INDEX($C$67:$D$69,MATCH($E$61,$B$67:$B$69,0),MATCH("Rating",$C$66:$D$66,0))</f>
        <v>E</v>
      </c>
    </row>
    <row r="91" spans="2:5" ht="15" thickBot="1">
      <c r="B91" s="266" t="s">
        <v>721</v>
      </c>
      <c r="C91" s="260">
        <v>0.2</v>
      </c>
      <c r="D91" s="261" t="s">
        <v>821</v>
      </c>
    </row>
    <row r="92" spans="2:5" ht="5.25" customHeight="1">
      <c r="B92" s="245"/>
      <c r="C92" s="246"/>
      <c r="D92" s="246"/>
      <c r="E92" s="246"/>
    </row>
    <row r="93" spans="2:5" ht="15">
      <c r="B93" s="241" t="s">
        <v>889</v>
      </c>
      <c r="C93" s="246"/>
      <c r="D93" s="246"/>
      <c r="E93" s="246"/>
    </row>
    <row r="94" spans="2:5" ht="15">
      <c r="B94" s="241" t="s">
        <v>838</v>
      </c>
      <c r="C94" s="246"/>
      <c r="D94" s="246"/>
      <c r="E94" s="246"/>
    </row>
    <row r="95" spans="2:5" ht="15">
      <c r="B95" s="264" t="s">
        <v>890</v>
      </c>
      <c r="C95" s="246"/>
      <c r="D95" s="246"/>
      <c r="E95" s="246"/>
    </row>
  </sheetData>
  <sheetProtection algorithmName="SHA-512" hashValue="xM0pXfKJ0KyEP9wJSn76gZFsSPztAUJ6a05iqgIwBJOeFoZcdt06WR+opQVZEZdXqo1YysuRC5XZLTuCnm0vKQ==" saltValue="lXJg/nU0sOcz15/gsxwjHg==" spinCount="100000" sheet="1" objects="1" scenarios="1" selectLockedCells="1" selectUnlockedCells="1"/>
  <mergeCells count="26">
    <mergeCell ref="B86:C86"/>
    <mergeCell ref="D86:D87"/>
    <mergeCell ref="E86:E88"/>
    <mergeCell ref="B87:B88"/>
    <mergeCell ref="K4:K5"/>
    <mergeCell ref="B4:B5"/>
    <mergeCell ref="C4:C5"/>
    <mergeCell ref="F4:F5"/>
    <mergeCell ref="J38:J39"/>
    <mergeCell ref="K38:K39"/>
    <mergeCell ref="F38:F39"/>
    <mergeCell ref="B38:B39"/>
    <mergeCell ref="C38:C39"/>
    <mergeCell ref="D38:E38"/>
    <mergeCell ref="B75:C75"/>
    <mergeCell ref="D75:D76"/>
    <mergeCell ref="E75:E77"/>
    <mergeCell ref="D4:E4"/>
    <mergeCell ref="J4:J5"/>
    <mergeCell ref="B65:B66"/>
    <mergeCell ref="B64:C64"/>
    <mergeCell ref="E64:E66"/>
    <mergeCell ref="D64:D65"/>
    <mergeCell ref="D60:E60"/>
    <mergeCell ref="B76:B77"/>
    <mergeCell ref="B58:E58"/>
  </mergeCells>
  <pageMargins left="0.39370078740157483" right="0.39370078740157483" top="0.55118110236220474" bottom="0.39370078740157483" header="0.31496062992125984" footer="0.31496062992125984"/>
  <pageSetup scale="58" orientation="landscape" r:id="rId1"/>
  <rowBreaks count="1" manualBreakCount="1">
    <brk id="56" max="8" man="1"/>
  </rowBreaks>
  <extLst>
    <ext xmlns:x14="http://schemas.microsoft.com/office/spreadsheetml/2009/9/main" uri="{78C0D931-6437-407d-A8EE-F0AAD7539E65}">
      <x14:conditionalFormattings>
        <x14:conditionalFormatting xmlns:xm="http://schemas.microsoft.com/office/excel/2006/main">
          <x14:cfRule type="expression" priority="3" id="{A90EA407-C66D-4031-8A75-BA77B6B5964A}">
            <xm:f>'Input Information'!$H$4="R"</xm:f>
            <x14:dxf>
              <fill>
                <patternFill patternType="darkGray"/>
              </fill>
            </x14:dxf>
          </x14:cfRule>
          <xm:sqref>D6:H30 D40:H49 E31:E33 G31:H33</xm:sqref>
        </x14:conditionalFormatting>
        <x14:conditionalFormatting xmlns:xm="http://schemas.microsoft.com/office/excel/2006/main">
          <x14:cfRule type="expression" priority="2" id="{51F771B6-20B4-4030-ABF1-D1152D5A6305}">
            <xm:f>'Input Information'!$H$4="R"</xm:f>
            <x14:dxf>
              <fill>
                <patternFill patternType="darkGray"/>
              </fill>
            </x14:dxf>
          </x14:cfRule>
          <xm:sqref>D31:D33</xm:sqref>
        </x14:conditionalFormatting>
        <x14:conditionalFormatting xmlns:xm="http://schemas.microsoft.com/office/excel/2006/main">
          <x14:cfRule type="expression" priority="1" id="{C8936411-4B47-4745-A0EE-B56F36CB3EF5}">
            <xm:f>'Input Information'!$H$4="R"</xm:f>
            <x14:dxf>
              <fill>
                <patternFill patternType="darkGray"/>
              </fill>
            </x14:dxf>
          </x14:cfRule>
          <xm:sqref>F31:F33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Instructions</vt:lpstr>
      <vt:lpstr>Input Information</vt:lpstr>
      <vt:lpstr>Part 1 Releases</vt:lpstr>
      <vt:lpstr>Parts 2 and 3 Releases</vt:lpstr>
      <vt:lpstr>Part 4 Releases </vt:lpstr>
      <vt:lpstr>Part 5 Releases</vt:lpstr>
      <vt:lpstr>Site-Specific Emission Factors</vt:lpstr>
      <vt:lpstr>RESIDUAL MASTER SHEET</vt:lpstr>
      <vt:lpstr>DISTILLATE MASTER SHEET</vt:lpstr>
      <vt:lpstr>NPRI List 2019</vt:lpstr>
      <vt:lpstr>'DISTILLATE MASTER SHEET'!Print_Area</vt:lpstr>
      <vt:lpstr>'Input Information'!Print_Area</vt:lpstr>
      <vt:lpstr>Instructions!Print_Area</vt:lpstr>
      <vt:lpstr>'Part 1 Releases'!Print_Area</vt:lpstr>
      <vt:lpstr>'Part 4 Releases '!Print_Area</vt:lpstr>
      <vt:lpstr>'Part 5 Releases'!Print_Area</vt:lpstr>
      <vt:lpstr>'Parts 2 and 3 Releases'!Print_Area</vt:lpstr>
      <vt:lpstr>'RESIDUAL MASTER SHEET'!Print_Area</vt:lpstr>
      <vt:lpstr>'Site-Specific Emission Factors'!Print_Area</vt:lpstr>
      <vt:lpstr>'DISTILLATE MASTER SHEET'!Print_Titles</vt:lpstr>
      <vt:lpstr>'Input Information'!Print_Titles</vt:lpstr>
      <vt:lpstr>'RESIDUAL MASTER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Asili, Vahid</dc:creator>
  <cp:lastModifiedBy>Hawirko,Jason [Edm]</cp:lastModifiedBy>
  <cp:lastPrinted>2020-03-10T19:29:15Z</cp:lastPrinted>
  <dcterms:created xsi:type="dcterms:W3CDTF">2020-01-10T15:48:31Z</dcterms:created>
  <dcterms:modified xsi:type="dcterms:W3CDTF">2020-05-08T11:47:01Z</dcterms:modified>
</cp:coreProperties>
</file>