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cr.int.ec.gc.ca\shares\S\SRAD_PID\NPRI Implementation\Toolbox_v2\_Tools_Guides\Fuel Oil - Boilers_Heaters\"/>
    </mc:Choice>
  </mc:AlternateContent>
  <bookViews>
    <workbookView xWindow="21480" yWindow="-120" windowWidth="20730" windowHeight="11760" tabRatio="744"/>
  </bookViews>
  <sheets>
    <sheet name="Instructions" sheetId="13" r:id="rId1"/>
    <sheet name="Entrée des données" sheetId="1" r:id="rId2"/>
    <sheet name="Rejets de la partie 1" sheetId="14" r:id="rId3"/>
    <sheet name="Rejets des parties 2 et 3" sheetId="9" r:id="rId4"/>
    <sheet name="Rejets de la partie 4 " sheetId="15" r:id="rId5"/>
    <sheet name="Rejets de la partie 5" sheetId="16" r:id="rId6"/>
    <sheet name="FE propres aux sites" sheetId="17" r:id="rId7"/>
    <sheet name="FICHE MAÎTRESSE - H. RÉSIDUELLE" sheetId="6" r:id="rId8"/>
    <sheet name="FICHE MAÎTRESSE - H. DISTILLÉE" sheetId="3" r:id="rId9"/>
  </sheets>
  <definedNames>
    <definedName name="_xlnm._FilterDatabase" localSheetId="8" hidden="1">'FICHE MAÎTRESSE - H. DISTILLÉE'!$J$2:$J$95</definedName>
    <definedName name="_xlnm._FilterDatabase" localSheetId="7" hidden="1">'FICHE MAÎTRESSE - H. RÉSIDUELLE'!$K$4:$L$48</definedName>
    <definedName name="_xlnm.Print_Area" localSheetId="1">'Entrée des données'!$A$1:$I$67</definedName>
    <definedName name="_xlnm.Print_Area" localSheetId="6">'FE propres aux sites'!$A$1:$J$13</definedName>
    <definedName name="_xlnm.Print_Area" localSheetId="8">'FICHE MAÎTRESSE - H. DISTILLÉE'!$A$1:$I$96</definedName>
    <definedName name="_xlnm.Print_Area" localSheetId="7">'FICHE MAÎTRESSE - H. RÉSIDUELLE'!$A$1:$J$101</definedName>
    <definedName name="_xlnm.Print_Area" localSheetId="0">Instructions!$A$1:$A$38</definedName>
    <definedName name="_xlnm.Print_Area" localSheetId="2">'Rejets de la partie 1'!$A$1:$H$33</definedName>
    <definedName name="_xlnm.Print_Area" localSheetId="4">'Rejets de la partie 4 '!$A$1:$H$12</definedName>
    <definedName name="_xlnm.Print_Area" localSheetId="5">'Rejets de la partie 5'!$A$1:$H$9</definedName>
    <definedName name="_xlnm.Print_Area" localSheetId="3">'Rejets des parties 2 et 3'!$A$1:$J$29</definedName>
    <definedName name="_xlnm.Print_Titles" localSheetId="1">'Entrée des données'!$1:$1</definedName>
    <definedName name="_xlnm.Print_Titles" localSheetId="8">'FICHE MAÎTRESSE - H. DISTILLÉE'!$1:$2</definedName>
    <definedName name="_xlnm.Print_Titles" localSheetId="7">'FICHE MAÎTRESSE - H. RÉSIDUELLE'!$1:$2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H37" i="1"/>
  <c r="H4" i="1"/>
  <c r="D7" i="3" l="1"/>
  <c r="D11" i="3"/>
  <c r="F7" i="3"/>
  <c r="F9" i="3"/>
  <c r="F11" i="3"/>
  <c r="D8" i="3"/>
  <c r="D10" i="3"/>
  <c r="D12" i="3"/>
  <c r="D9" i="3"/>
  <c r="F6" i="3"/>
  <c r="F8" i="3"/>
  <c r="F10" i="3"/>
  <c r="F12" i="3"/>
  <c r="E5" i="14"/>
  <c r="C8" i="14"/>
  <c r="E12" i="14"/>
  <c r="C15" i="14"/>
  <c r="E27" i="14"/>
  <c r="E11" i="9"/>
  <c r="E15" i="9"/>
  <c r="E4" i="14"/>
  <c r="E8" i="14"/>
  <c r="E11" i="14"/>
  <c r="C14" i="14"/>
  <c r="E15" i="14"/>
  <c r="C25" i="14"/>
  <c r="E26" i="14"/>
  <c r="C29" i="14"/>
  <c r="E30" i="14"/>
  <c r="C5" i="9"/>
  <c r="E6" i="9"/>
  <c r="C9" i="9"/>
  <c r="E10" i="9"/>
  <c r="C13" i="9"/>
  <c r="E14" i="9"/>
  <c r="C17" i="9"/>
  <c r="E26" i="9"/>
  <c r="E4" i="16"/>
  <c r="C7" i="16"/>
  <c r="C11" i="14"/>
  <c r="E16" i="14"/>
  <c r="C26" i="14"/>
  <c r="C30" i="14"/>
  <c r="C6" i="9"/>
  <c r="C10" i="9"/>
  <c r="C14" i="9"/>
  <c r="C26" i="9"/>
  <c r="E5" i="16"/>
  <c r="C6" i="14"/>
  <c r="E7" i="14"/>
  <c r="E10" i="14"/>
  <c r="C13" i="14"/>
  <c r="E14" i="14"/>
  <c r="C17" i="14"/>
  <c r="E25" i="14"/>
  <c r="C28" i="14"/>
  <c r="E29" i="14"/>
  <c r="C4" i="9"/>
  <c r="E5" i="9"/>
  <c r="C8" i="9"/>
  <c r="E9" i="9"/>
  <c r="C12" i="9"/>
  <c r="E13" i="9"/>
  <c r="C16" i="9"/>
  <c r="E17" i="9"/>
  <c r="C6" i="16"/>
  <c r="E7" i="16"/>
  <c r="C4" i="14"/>
  <c r="E9" i="14"/>
  <c r="E31" i="14"/>
  <c r="E7" i="9"/>
  <c r="C4" i="16"/>
  <c r="C10" i="14"/>
  <c r="C5" i="14"/>
  <c r="E6" i="14"/>
  <c r="C9" i="14"/>
  <c r="C12" i="14"/>
  <c r="E13" i="14"/>
  <c r="C16" i="14"/>
  <c r="E17" i="14"/>
  <c r="C27" i="14"/>
  <c r="E28" i="14"/>
  <c r="C31" i="14"/>
  <c r="E4" i="9"/>
  <c r="C7" i="9"/>
  <c r="E8" i="9"/>
  <c r="C11" i="9"/>
  <c r="E12" i="9"/>
  <c r="C15" i="9"/>
  <c r="E16" i="9"/>
  <c r="E6" i="16"/>
  <c r="E31" i="3"/>
  <c r="E32" i="3"/>
  <c r="E33" i="3"/>
  <c r="E46" i="6"/>
  <c r="E47" i="6"/>
  <c r="E48" i="6"/>
  <c r="E45" i="6"/>
  <c r="G100" i="1" l="1"/>
  <c r="F100" i="1"/>
  <c r="E81" i="6"/>
  <c r="C16" i="1" l="1"/>
  <c r="B33" i="1" l="1"/>
  <c r="F17" i="9" l="1"/>
  <c r="F4" i="9"/>
  <c r="F5" i="9"/>
  <c r="F14" i="9"/>
  <c r="G47" i="6"/>
  <c r="G48" i="6"/>
  <c r="G46" i="6"/>
  <c r="G33" i="3"/>
  <c r="H33" i="3" s="1"/>
  <c r="G8" i="17"/>
  <c r="G9" i="17"/>
  <c r="G32" i="3"/>
  <c r="H32" i="3" s="1"/>
  <c r="G31" i="3"/>
  <c r="H31" i="3" s="1"/>
  <c r="G6" i="17"/>
  <c r="G7" i="17"/>
  <c r="G10" i="17"/>
  <c r="F5" i="16"/>
  <c r="F7" i="9"/>
  <c r="F6" i="16"/>
  <c r="F8" i="9"/>
  <c r="F7" i="16"/>
  <c r="F9" i="9"/>
  <c r="F10" i="9"/>
  <c r="F4" i="16"/>
  <c r="F6" i="15"/>
  <c r="F11" i="9"/>
  <c r="F4" i="15"/>
  <c r="F12" i="9"/>
  <c r="F8" i="15"/>
  <c r="F13" i="9"/>
  <c r="F16" i="9"/>
  <c r="F9" i="15"/>
  <c r="F15" i="9"/>
  <c r="F10" i="15"/>
  <c r="F7" i="15"/>
  <c r="F6" i="9"/>
  <c r="F5" i="15"/>
  <c r="F26" i="9"/>
  <c r="F27" i="14"/>
  <c r="F11" i="14"/>
  <c r="F13" i="14"/>
  <c r="F15" i="14"/>
  <c r="F5" i="14"/>
  <c r="F6" i="14"/>
  <c r="F26" i="14"/>
  <c r="F28" i="14"/>
  <c r="F12" i="14"/>
  <c r="F29" i="14"/>
  <c r="F14" i="14"/>
  <c r="F31" i="14"/>
  <c r="F25" i="14"/>
  <c r="F4" i="14"/>
  <c r="F9" i="14"/>
  <c r="F30" i="14"/>
  <c r="F16" i="14"/>
  <c r="F17" i="14"/>
  <c r="F8" i="14"/>
  <c r="F10" i="14"/>
  <c r="F7" i="14"/>
  <c r="F110" i="1"/>
  <c r="F109" i="1"/>
  <c r="F108" i="1"/>
  <c r="F107" i="1"/>
  <c r="G98" i="1"/>
  <c r="G108" i="1"/>
  <c r="G109" i="1"/>
  <c r="G110" i="1"/>
  <c r="G107" i="1"/>
  <c r="G101" i="1"/>
  <c r="G97" i="1"/>
  <c r="G99" i="1"/>
  <c r="G96" i="1"/>
  <c r="G102" i="1"/>
  <c r="F99" i="1"/>
  <c r="F101" i="1"/>
  <c r="F97" i="1"/>
  <c r="F98" i="1"/>
  <c r="F96" i="1"/>
  <c r="D46" i="1" l="1"/>
  <c r="D88" i="6" l="1"/>
  <c r="F65" i="6"/>
  <c r="E126" i="1" l="1"/>
  <c r="F66" i="6"/>
  <c r="G98" i="6" s="1"/>
  <c r="F12" i="6" s="1"/>
  <c r="E61" i="3"/>
  <c r="E5" i="15"/>
  <c r="E6" i="15"/>
  <c r="E9" i="3"/>
  <c r="G9" i="3" s="1"/>
  <c r="E8" i="3"/>
  <c r="G8" i="3" s="1"/>
  <c r="E4" i="15"/>
  <c r="E7" i="3"/>
  <c r="G7" i="3" s="1"/>
  <c r="F60" i="6"/>
  <c r="F9" i="6" s="1"/>
  <c r="E8" i="15" s="1"/>
  <c r="D65" i="1"/>
  <c r="D67" i="1" s="1"/>
  <c r="D53" i="1"/>
  <c r="D55" i="1" s="1"/>
  <c r="D61" i="1"/>
  <c r="D63" i="1" s="1"/>
  <c r="D57" i="1"/>
  <c r="D59" i="1" s="1"/>
  <c r="F57" i="6"/>
  <c r="F58" i="6"/>
  <c r="E89" i="6"/>
  <c r="D89" i="6"/>
  <c r="E80" i="6"/>
  <c r="D80" i="6"/>
  <c r="E88" i="6"/>
  <c r="E79" i="6"/>
  <c r="D79" i="6"/>
  <c r="E90" i="6"/>
  <c r="D90" i="6"/>
  <c r="D81" i="6"/>
  <c r="E32" i="6"/>
  <c r="G32" i="6" s="1"/>
  <c r="E33" i="6"/>
  <c r="G33" i="6" s="1"/>
  <c r="E34" i="6"/>
  <c r="G34" i="6" s="1"/>
  <c r="E35" i="6"/>
  <c r="G35" i="6" s="1"/>
  <c r="H35" i="6" s="1"/>
  <c r="G9" i="14" s="1"/>
  <c r="E36" i="6"/>
  <c r="G36" i="6" s="1"/>
  <c r="E37" i="6"/>
  <c r="G37" i="6" s="1"/>
  <c r="H37" i="6" s="1"/>
  <c r="G26" i="9" s="1"/>
  <c r="E38" i="6"/>
  <c r="E39" i="6"/>
  <c r="G39" i="6" s="1"/>
  <c r="E40" i="6"/>
  <c r="E41" i="6"/>
  <c r="G41" i="6" s="1"/>
  <c r="E42" i="6"/>
  <c r="G42" i="6" s="1"/>
  <c r="H42" i="6" s="1"/>
  <c r="E43" i="6"/>
  <c r="G43" i="6" s="1"/>
  <c r="H43" i="6" s="1"/>
  <c r="E44" i="6"/>
  <c r="G44" i="6" s="1"/>
  <c r="G45" i="6"/>
  <c r="E31" i="6"/>
  <c r="E30" i="6"/>
  <c r="G30" i="6" s="1"/>
  <c r="E28" i="6"/>
  <c r="E27" i="6"/>
  <c r="G27" i="6" s="1"/>
  <c r="H27" i="6" s="1"/>
  <c r="G4" i="14" s="1"/>
  <c r="E26" i="6"/>
  <c r="E25" i="6"/>
  <c r="G25" i="6" s="1"/>
  <c r="E24" i="6"/>
  <c r="G24" i="6" s="1"/>
  <c r="E23" i="6"/>
  <c r="G23" i="6" s="1"/>
  <c r="E22" i="6"/>
  <c r="G22" i="6" s="1"/>
  <c r="E21" i="6"/>
  <c r="E20" i="6"/>
  <c r="E19" i="6"/>
  <c r="E18" i="6"/>
  <c r="E17" i="6"/>
  <c r="E16" i="6"/>
  <c r="G16" i="6" s="1"/>
  <c r="H16" i="6" s="1"/>
  <c r="E15" i="6"/>
  <c r="G15" i="6" s="1"/>
  <c r="E14" i="6"/>
  <c r="G14" i="6" s="1"/>
  <c r="E13" i="6"/>
  <c r="E78" i="3" l="1"/>
  <c r="E67" i="3"/>
  <c r="E79" i="3"/>
  <c r="E90" i="3"/>
  <c r="E68" i="3"/>
  <c r="E89" i="3"/>
  <c r="G7" i="16"/>
  <c r="G6" i="14"/>
  <c r="G5" i="14"/>
  <c r="G6" i="16"/>
  <c r="G4" i="16"/>
  <c r="G8" i="14"/>
  <c r="D7" i="6"/>
  <c r="E7" i="6" s="1"/>
  <c r="D8" i="6"/>
  <c r="E8" i="6" s="1"/>
  <c r="G40" i="6"/>
  <c r="H40" i="6" s="1"/>
  <c r="G17" i="9" s="1"/>
  <c r="G17" i="6"/>
  <c r="H17" i="6" s="1"/>
  <c r="G7" i="9" s="1"/>
  <c r="G38" i="6"/>
  <c r="H38" i="6" s="1"/>
  <c r="G16" i="9" s="1"/>
  <c r="G28" i="6"/>
  <c r="H28" i="6" s="1"/>
  <c r="G13" i="9" s="1"/>
  <c r="G18" i="6"/>
  <c r="H18" i="6" s="1"/>
  <c r="G8" i="9" s="1"/>
  <c r="G31" i="6"/>
  <c r="H31" i="6" s="1"/>
  <c r="G15" i="9" s="1"/>
  <c r="G13" i="6"/>
  <c r="H13" i="6" s="1"/>
  <c r="G6" i="9" s="1"/>
  <c r="G19" i="6"/>
  <c r="H19" i="6" s="1"/>
  <c r="G9" i="9" s="1"/>
  <c r="G20" i="6"/>
  <c r="H20" i="6" s="1"/>
  <c r="G10" i="9" s="1"/>
  <c r="G26" i="6"/>
  <c r="H26" i="6" s="1"/>
  <c r="G12" i="9" s="1"/>
  <c r="G21" i="6"/>
  <c r="H21" i="6" s="1"/>
  <c r="G11" i="9" s="1"/>
  <c r="H48" i="6"/>
  <c r="G14" i="9" s="1"/>
  <c r="H47" i="6"/>
  <c r="G5" i="9" s="1"/>
  <c r="H46" i="6"/>
  <c r="G4" i="9" s="1"/>
  <c r="G97" i="6"/>
  <c r="E12" i="3"/>
  <c r="G12" i="3" s="1"/>
  <c r="H12" i="3" s="1"/>
  <c r="E7" i="15"/>
  <c r="E10" i="3"/>
  <c r="G10" i="3" s="1"/>
  <c r="H10" i="3" s="1"/>
  <c r="E11" i="3"/>
  <c r="G11" i="3" s="1"/>
  <c r="H11" i="3" s="1"/>
  <c r="H9" i="3"/>
  <c r="H8" i="3"/>
  <c r="G89" i="6"/>
  <c r="F11" i="6" s="1"/>
  <c r="E10" i="15" s="1"/>
  <c r="D29" i="6"/>
  <c r="E29" i="6" s="1"/>
  <c r="G80" i="6"/>
  <c r="F10" i="6" s="1"/>
  <c r="E9" i="15" s="1"/>
  <c r="H14" i="6"/>
  <c r="G10" i="14" s="1"/>
  <c r="H24" i="6"/>
  <c r="G27" i="14" s="1"/>
  <c r="H34" i="6"/>
  <c r="H25" i="6"/>
  <c r="H45" i="6"/>
  <c r="H33" i="6"/>
  <c r="H23" i="6"/>
  <c r="H22" i="6"/>
  <c r="H41" i="6"/>
  <c r="H36" i="6"/>
  <c r="H15" i="6"/>
  <c r="H44" i="6"/>
  <c r="G17" i="14" s="1"/>
  <c r="H32" i="6"/>
  <c r="H30" i="6"/>
  <c r="G31" i="14" s="1"/>
  <c r="H39" i="6"/>
  <c r="G16" i="14" s="1"/>
  <c r="K37" i="3"/>
  <c r="K40" i="3"/>
  <c r="K41" i="3"/>
  <c r="K42" i="3"/>
  <c r="K43" i="3"/>
  <c r="K44" i="3"/>
  <c r="K45" i="3"/>
  <c r="K46" i="3"/>
  <c r="K47" i="3"/>
  <c r="K48" i="3"/>
  <c r="K49" i="3"/>
  <c r="J37" i="3"/>
  <c r="E30" i="3"/>
  <c r="E29" i="3"/>
  <c r="E28" i="3"/>
  <c r="E27" i="3"/>
  <c r="E26" i="3"/>
  <c r="E25" i="3"/>
  <c r="E24" i="3"/>
  <c r="D23" i="3"/>
  <c r="E23" i="3" s="1"/>
  <c r="E22" i="3"/>
  <c r="E21" i="3"/>
  <c r="E20" i="3"/>
  <c r="E19" i="3"/>
  <c r="E18" i="3"/>
  <c r="E17" i="3"/>
  <c r="E16" i="3"/>
  <c r="E15" i="3"/>
  <c r="E14" i="3"/>
  <c r="E13" i="3"/>
  <c r="G29" i="6" l="1"/>
  <c r="H29" i="6" s="1"/>
  <c r="C5" i="16"/>
  <c r="C7" i="14"/>
  <c r="G5" i="16"/>
  <c r="G7" i="14"/>
  <c r="G8" i="6"/>
  <c r="H8" i="6" s="1"/>
  <c r="G4" i="15" s="1"/>
  <c r="C4" i="15"/>
  <c r="G7" i="6"/>
  <c r="H7" i="6" s="1"/>
  <c r="C6" i="15"/>
  <c r="D12" i="6"/>
  <c r="E12" i="6" s="1"/>
  <c r="C7" i="15" s="1"/>
  <c r="G23" i="3"/>
  <c r="H23" i="3" s="1"/>
  <c r="G27" i="3"/>
  <c r="H27" i="3" s="1"/>
  <c r="G16" i="3"/>
  <c r="H16" i="3" s="1"/>
  <c r="G18" i="3"/>
  <c r="H18" i="3" s="1"/>
  <c r="G30" i="3"/>
  <c r="H30" i="3" s="1"/>
  <c r="G19" i="3"/>
  <c r="H19" i="3" s="1"/>
  <c r="G20" i="3"/>
  <c r="H20" i="3" s="1"/>
  <c r="G21" i="3"/>
  <c r="H21" i="3" s="1"/>
  <c r="G25" i="3"/>
  <c r="H25" i="3" s="1"/>
  <c r="H7" i="3"/>
  <c r="G22" i="3"/>
  <c r="H22" i="3" s="1"/>
  <c r="G24" i="3"/>
  <c r="H24" i="3" s="1"/>
  <c r="G13" i="3"/>
  <c r="H13" i="3" s="1"/>
  <c r="G14" i="3"/>
  <c r="H14" i="3" s="1"/>
  <c r="G26" i="3"/>
  <c r="H26" i="3" s="1"/>
  <c r="G15" i="3"/>
  <c r="H15" i="3" s="1"/>
  <c r="G28" i="3"/>
  <c r="H28" i="3" s="1"/>
  <c r="G17" i="3"/>
  <c r="H17" i="3" s="1"/>
  <c r="G29" i="3"/>
  <c r="H29" i="3" s="1"/>
  <c r="D47" i="1"/>
  <c r="D6" i="3" s="1"/>
  <c r="B55" i="3"/>
  <c r="D22" i="1"/>
  <c r="D31" i="1"/>
  <c r="D30" i="1"/>
  <c r="D29" i="1"/>
  <c r="D28" i="1"/>
  <c r="D27" i="1"/>
  <c r="D26" i="1"/>
  <c r="G12" i="6" l="1"/>
  <c r="H12" i="6" s="1"/>
  <c r="G7" i="15" s="1"/>
  <c r="G6" i="15"/>
  <c r="C59" i="6"/>
  <c r="F59" i="6" s="1"/>
  <c r="D9" i="6" s="1"/>
  <c r="E6" i="3"/>
  <c r="G6" i="3" s="1"/>
  <c r="E42" i="3"/>
  <c r="E43" i="3"/>
  <c r="E40" i="3"/>
  <c r="E44" i="3"/>
  <c r="E46" i="3"/>
  <c r="E41" i="3"/>
  <c r="E45" i="3"/>
  <c r="E47" i="3"/>
  <c r="E48" i="3"/>
  <c r="E49" i="3"/>
  <c r="C56" i="6"/>
  <c r="E56" i="6"/>
  <c r="D56" i="6"/>
  <c r="C66" i="6"/>
  <c r="C81" i="6" s="1"/>
  <c r="D32" i="1"/>
  <c r="D21" i="1"/>
  <c r="D23" i="1"/>
  <c r="D24" i="1"/>
  <c r="D25" i="1"/>
  <c r="F56" i="6" l="1"/>
  <c r="D6" i="6" s="1"/>
  <c r="G45" i="3"/>
  <c r="H45" i="3" s="1"/>
  <c r="G13" i="14" s="1"/>
  <c r="G44" i="3"/>
  <c r="H44" i="3" s="1"/>
  <c r="G28" i="14" s="1"/>
  <c r="G41" i="3"/>
  <c r="H41" i="3" s="1"/>
  <c r="G26" i="14" s="1"/>
  <c r="G46" i="3"/>
  <c r="H46" i="3" s="1"/>
  <c r="G29" i="14" s="1"/>
  <c r="G40" i="3"/>
  <c r="H40" i="3" s="1"/>
  <c r="G25" i="14" s="1"/>
  <c r="G42" i="3"/>
  <c r="H42" i="3" s="1"/>
  <c r="G11" i="14" s="1"/>
  <c r="G43" i="3"/>
  <c r="H43" i="3" s="1"/>
  <c r="G12" i="14" s="1"/>
  <c r="G49" i="3"/>
  <c r="H49" i="3" s="1"/>
  <c r="G15" i="14" s="1"/>
  <c r="G48" i="3"/>
  <c r="H48" i="3" s="1"/>
  <c r="G30" i="14" s="1"/>
  <c r="G47" i="3"/>
  <c r="H47" i="3" s="1"/>
  <c r="G14" i="14" s="1"/>
  <c r="H6" i="3"/>
  <c r="E6" i="6"/>
  <c r="C5" i="15" s="1"/>
  <c r="E9" i="6"/>
  <c r="C8" i="15" s="1"/>
  <c r="C89" i="6"/>
  <c r="C79" i="6"/>
  <c r="C88" i="6"/>
  <c r="C80" i="6"/>
  <c r="C90" i="6"/>
  <c r="G79" i="6" l="1"/>
  <c r="D10" i="6" s="1"/>
  <c r="E10" i="6" s="1"/>
  <c r="C9" i="15" s="1"/>
  <c r="G9" i="6"/>
  <c r="H9" i="6" s="1"/>
  <c r="G8" i="15" s="1"/>
  <c r="G6" i="6"/>
  <c r="H6" i="6" s="1"/>
  <c r="G5" i="15" s="1"/>
  <c r="G88" i="6"/>
  <c r="D11" i="6" l="1"/>
  <c r="E11" i="6" s="1"/>
  <c r="G10" i="6"/>
  <c r="H10" i="6" s="1"/>
  <c r="G9" i="15" s="1"/>
  <c r="C10" i="15" l="1"/>
  <c r="G11" i="6"/>
  <c r="H11" i="6" s="1"/>
  <c r="G10" i="15" s="1"/>
</calcChain>
</file>

<file path=xl/sharedStrings.xml><?xml version="1.0" encoding="utf-8"?>
<sst xmlns="http://schemas.openxmlformats.org/spreadsheetml/2006/main" count="917" uniqueCount="750">
  <si>
    <r>
      <rPr>
        <b/>
        <sz val="10"/>
        <color theme="1"/>
        <rFont val="Arial   "/>
      </rPr>
      <t>Utilisation du mazout</t>
    </r>
  </si>
  <si>
    <r>
      <rPr>
        <b/>
        <sz val="10"/>
        <rFont val="Arial   "/>
      </rPr>
      <t>Consommation annuelle totale</t>
    </r>
  </si>
  <si>
    <r>
      <rPr>
        <sz val="10"/>
        <rFont val="Arial   "/>
      </rPr>
      <t>Valeur indiquée par l’utilisateur (propre au site)</t>
    </r>
  </si>
  <si>
    <r>
      <rPr>
        <sz val="10"/>
        <rFont val="Arial   "/>
      </rPr>
      <t>Valeur par défaut</t>
    </r>
  </si>
  <si>
    <r>
      <rPr>
        <b/>
        <sz val="10"/>
        <rFont val="Arial   "/>
      </rPr>
      <t>Pouvoir calorifique supérieur (PCS) utilisé pour le calcul</t>
    </r>
  </si>
  <si>
    <r>
      <rPr>
        <b/>
        <sz val="10"/>
        <color theme="1"/>
        <rFont val="Arial   "/>
      </rPr>
      <t>Teneur en soufre du combustible</t>
    </r>
  </si>
  <si>
    <r>
      <rPr>
        <b/>
        <sz val="10"/>
        <rFont val="Arial   "/>
      </rPr>
      <t>Région</t>
    </r>
  </si>
  <si>
    <r>
      <rPr>
        <b/>
        <sz val="10"/>
        <rFont val="Arial   "/>
      </rPr>
      <t>Type de combustible</t>
    </r>
  </si>
  <si>
    <r>
      <rPr>
        <sz val="10"/>
        <rFont val="Arial   "/>
      </rPr>
      <t>Teneur en soufre indiquée par l’utilisateur (propre au site) (pourcentage)</t>
    </r>
  </si>
  <si>
    <r>
      <rPr>
        <sz val="10"/>
        <rFont val="Arial   "/>
      </rPr>
      <t>Teneur en soufre par défaut (pourcentage)</t>
    </r>
  </si>
  <si>
    <r>
      <rPr>
        <b/>
        <sz val="10"/>
        <color theme="1"/>
        <rFont val="Arial   "/>
      </rPr>
      <t>Teneur en soufre utilisée pour le calcul</t>
    </r>
  </si>
  <si>
    <r>
      <rPr>
        <sz val="10"/>
        <color theme="1"/>
        <rFont val="Arial   "/>
      </rPr>
      <t>Type de carburant</t>
    </r>
  </si>
  <si>
    <r>
      <rPr>
        <sz val="10"/>
        <color theme="1"/>
        <rFont val="Arial   "/>
      </rPr>
      <t>Atlantique</t>
    </r>
  </si>
  <si>
    <r>
      <rPr>
        <sz val="10"/>
        <color theme="1"/>
        <rFont val="Arial   "/>
      </rPr>
      <t>Québec</t>
    </r>
  </si>
  <si>
    <r>
      <rPr>
        <sz val="10"/>
        <color theme="1"/>
        <rFont val="Arial   "/>
      </rPr>
      <t>Ontario</t>
    </r>
  </si>
  <si>
    <r>
      <rPr>
        <sz val="10"/>
        <rFont val="Arial   "/>
      </rPr>
      <t>Ouest</t>
    </r>
  </si>
  <si>
    <r>
      <rPr>
        <sz val="10"/>
        <color theme="1"/>
        <rFont val="Arial   "/>
      </rPr>
      <t xml:space="preserve">Carburant diesel à faible teneur en soufre </t>
    </r>
  </si>
  <si>
    <r>
      <rPr>
        <sz val="10"/>
        <color theme="1"/>
        <rFont val="Arial   "/>
      </rPr>
      <t xml:space="preserve">Mazout léger </t>
    </r>
  </si>
  <si>
    <r>
      <rPr>
        <b/>
        <sz val="10"/>
        <color theme="1"/>
        <rFont val="Arial   "/>
      </rPr>
      <t>Type de chaudière ou d’appareil de chauffage</t>
    </r>
  </si>
  <si>
    <r>
      <rPr>
        <sz val="11"/>
        <color theme="1"/>
        <rFont val="Arial"/>
        <family val="2"/>
      </rPr>
      <t xml:space="preserve">Contaminant </t>
    </r>
  </si>
  <si>
    <r>
      <rPr>
        <sz val="11"/>
        <color theme="1"/>
        <rFont val="Arial"/>
        <family val="2"/>
      </rPr>
      <t>Facteur d’émission non contrôlé</t>
    </r>
  </si>
  <si>
    <r>
      <rPr>
        <b/>
        <sz val="11"/>
        <color theme="1"/>
        <rFont val="Arial"/>
        <family val="2"/>
      </rPr>
      <t>kg/année</t>
    </r>
  </si>
  <si>
    <r>
      <rPr>
        <sz val="11"/>
        <color theme="1"/>
        <rFont val="Arial"/>
        <family val="2"/>
      </rPr>
      <t>Plomb (et ses composés, sauf le plomb tétraéthyle)</t>
    </r>
  </si>
  <si>
    <r>
      <rPr>
        <b/>
        <sz val="10"/>
        <color theme="1"/>
        <rFont val="Arial   "/>
      </rPr>
      <t>CO</t>
    </r>
  </si>
  <si>
    <r>
      <rPr>
        <sz val="10"/>
        <color theme="1"/>
        <rFont val="Arial"/>
        <family val="2"/>
      </rPr>
      <t>Benz[a]anthracène</t>
    </r>
  </si>
  <si>
    <r>
      <rPr>
        <sz val="11"/>
        <color theme="1"/>
        <rFont val="Arial"/>
        <family val="2"/>
      </rPr>
      <t>Chrysène</t>
    </r>
  </si>
  <si>
    <r>
      <rPr>
        <sz val="10"/>
        <color theme="1"/>
        <rFont val="Arial"/>
        <family val="2"/>
      </rPr>
      <t>Benzo[b]fluoranthène</t>
    </r>
  </si>
  <si>
    <r>
      <rPr>
        <sz val="10"/>
        <color theme="1"/>
        <rFont val="Arial"/>
        <family val="2"/>
      </rPr>
      <t>Benzo[ghi]pérylène</t>
    </r>
  </si>
  <si>
    <r>
      <rPr>
        <sz val="11"/>
        <color theme="1"/>
        <rFont val="Arial"/>
        <family val="2"/>
      </rPr>
      <t>Benzo[k]fluoranthène</t>
    </r>
  </si>
  <si>
    <r>
      <rPr>
        <sz val="10"/>
        <color theme="1"/>
        <rFont val="Arial"/>
        <family val="2"/>
      </rPr>
      <t>Dibenz[a,h]anthracène</t>
    </r>
  </si>
  <si>
    <r>
      <rPr>
        <sz val="10"/>
        <color theme="1"/>
        <rFont val="Arial"/>
        <family val="2"/>
      </rPr>
      <t>Indeno[1,2,3-cd] pyrène</t>
    </r>
  </si>
  <si>
    <r>
      <rPr>
        <sz val="11"/>
        <color theme="1"/>
        <rFont val="Arial"/>
        <family val="2"/>
      </rPr>
      <t>Contaminant - Métal</t>
    </r>
  </si>
  <si>
    <r>
      <rPr>
        <sz val="10"/>
        <color theme="1"/>
        <rFont val="Arial"/>
        <family val="2"/>
      </rPr>
      <t>Chrome (et ses composés, sauf les composés du chrome VI)</t>
    </r>
  </si>
  <si>
    <r>
      <rPr>
        <sz val="10"/>
        <color theme="1"/>
        <rFont val="Arial"/>
        <family val="2"/>
      </rPr>
      <t>Cuivre (et ses composés)</t>
    </r>
  </si>
  <si>
    <r>
      <rPr>
        <sz val="11"/>
        <color theme="1"/>
        <rFont val="Arial"/>
        <family val="2"/>
      </rPr>
      <t>PARTIE DE L’INRP</t>
    </r>
  </si>
  <si>
    <r>
      <rPr>
        <sz val="11"/>
        <color theme="1"/>
        <rFont val="Arial"/>
        <family val="2"/>
      </rPr>
      <t>PARTIE 5</t>
    </r>
  </si>
  <si>
    <t/>
  </si>
  <si>
    <r>
      <rPr>
        <b/>
        <sz val="16"/>
        <color rgb="FF7030A0"/>
        <rFont val="Arial"/>
        <family val="2"/>
      </rPr>
      <t>FICHE MAÎTRESSE - Huile distillée</t>
    </r>
  </si>
  <si>
    <r>
      <rPr>
        <b/>
        <sz val="16"/>
        <color rgb="FF7030A0"/>
        <rFont val="Arial"/>
        <family val="2"/>
      </rPr>
      <t>FICHE MAÎTRESSE - Huile résiduelle</t>
    </r>
  </si>
  <si>
    <r>
      <rPr>
        <sz val="11"/>
        <color theme="1"/>
        <rFont val="Arial"/>
        <family val="2"/>
      </rPr>
      <t>Mazout no 6</t>
    </r>
  </si>
  <si>
    <r>
      <rPr>
        <sz val="11"/>
        <color theme="1"/>
        <rFont val="Arial"/>
        <family val="2"/>
      </rPr>
      <t>Mazout no 5</t>
    </r>
  </si>
  <si>
    <r>
      <rPr>
        <sz val="11"/>
        <color theme="1"/>
        <rFont val="Arial"/>
        <family val="2"/>
      </rPr>
      <t>Mazout no 4</t>
    </r>
  </si>
  <si>
    <r>
      <rPr>
        <sz val="10"/>
        <color theme="1"/>
        <rFont val="Arial"/>
        <family val="2"/>
      </rPr>
      <t>Chrysène</t>
    </r>
  </si>
  <si>
    <r>
      <rPr>
        <sz val="10"/>
        <color theme="1"/>
        <rFont val="Arial"/>
        <family val="2"/>
      </rPr>
      <t>Benzo[k]fluoranthène</t>
    </r>
  </si>
  <si>
    <r>
      <rPr>
        <sz val="11"/>
        <color theme="1"/>
        <rFont val="Arial"/>
        <family val="2"/>
      </rPr>
      <t>Chrome (et ses composés, sauf les composés du chrome VI)</t>
    </r>
  </si>
  <si>
    <r>
      <rPr>
        <sz val="10"/>
        <color theme="1"/>
        <rFont val="Arial"/>
        <family val="2"/>
      </rPr>
      <t>Plomb (et ses composés, sauf le plomb tétraéthyle)</t>
    </r>
  </si>
  <si>
    <r>
      <rPr>
        <sz val="10"/>
        <color theme="1"/>
        <rFont val="Arial"/>
        <family val="2"/>
      </rPr>
      <t>Phosphore</t>
    </r>
  </si>
  <si>
    <r>
      <rPr>
        <b/>
        <sz val="11"/>
        <color theme="1"/>
        <rFont val="Arial"/>
        <family val="2"/>
      </rPr>
      <t>Huile résiduelle - Facteur de qualité du carburant - (Facteur A)</t>
    </r>
  </si>
  <si>
    <r>
      <rPr>
        <sz val="11"/>
        <color theme="1"/>
        <rFont val="Arial"/>
        <family val="2"/>
      </rPr>
      <t>Facteur A</t>
    </r>
  </si>
  <si>
    <r>
      <rPr>
        <sz val="10"/>
        <color theme="1"/>
        <rFont val="Arial   "/>
      </rPr>
      <t xml:space="preserve">Mazout lourd </t>
    </r>
  </si>
  <si>
    <r>
      <rPr>
        <b/>
        <sz val="10"/>
        <color theme="1"/>
        <rFont val="Arial   "/>
      </rPr>
      <t>Sélection du mazout</t>
    </r>
  </si>
  <si>
    <r>
      <rPr>
        <b/>
        <sz val="10"/>
        <color theme="1"/>
        <rFont val="Arial   "/>
      </rPr>
      <t>Qualité de l’huile résiduelle</t>
    </r>
  </si>
  <si>
    <r>
      <rPr>
        <sz val="11"/>
        <color theme="1"/>
        <rFont val="Arial"/>
        <family val="2"/>
      </rPr>
      <t>Qualité du carburant</t>
    </r>
  </si>
  <si>
    <r>
      <rPr>
        <b/>
        <sz val="10"/>
        <color theme="1"/>
        <rFont val="Arial   "/>
      </rPr>
      <t>I</t>
    </r>
  </si>
  <si>
    <r>
      <rPr>
        <b/>
        <sz val="10"/>
        <color theme="1"/>
        <rFont val="Arial   "/>
      </rPr>
      <t>C</t>
    </r>
  </si>
  <si>
    <r>
      <rPr>
        <b/>
        <sz val="10"/>
        <rFont val="Arial   "/>
      </rPr>
      <t>U</t>
    </r>
  </si>
  <si>
    <r>
      <rPr>
        <b/>
        <sz val="11"/>
        <color theme="1"/>
        <rFont val="Arial"/>
        <family val="2"/>
      </rPr>
      <t>I = Chaudière industrielle</t>
    </r>
  </si>
  <si>
    <r>
      <rPr>
        <b/>
        <sz val="11"/>
        <color theme="1"/>
        <rFont val="Arial"/>
        <family val="2"/>
      </rPr>
      <t>C = Chaudière commerciale, institutionnelle ou résidentielle</t>
    </r>
  </si>
  <si>
    <r>
      <rPr>
        <sz val="11"/>
        <color theme="1"/>
        <rFont val="Arial"/>
        <family val="2"/>
      </rPr>
      <t>Type de chaudière</t>
    </r>
  </si>
  <si>
    <r>
      <rPr>
        <b/>
        <sz val="11"/>
        <color theme="0"/>
        <rFont val="Arial"/>
        <family val="2"/>
      </rPr>
      <t>Entrées des utilisateurs - Pour INDICE</t>
    </r>
  </si>
  <si>
    <r>
      <rPr>
        <sz val="11"/>
        <color theme="1"/>
        <rFont val="Arial"/>
        <family val="2"/>
      </rPr>
      <t>Contaminant</t>
    </r>
  </si>
  <si>
    <r>
      <rPr>
        <sz val="11"/>
        <color theme="1"/>
        <rFont val="Arial"/>
        <family val="2"/>
      </rPr>
      <t xml:space="preserve"> Qualité du carburant</t>
    </r>
  </si>
  <si>
    <r>
      <rPr>
        <sz val="11"/>
        <color theme="1"/>
        <rFont val="Arial"/>
        <family val="2"/>
      </rPr>
      <t>Type de chaudière ou d’appareil de chauffage</t>
    </r>
  </si>
  <si>
    <r>
      <rPr>
        <sz val="11"/>
        <color theme="1"/>
        <rFont val="Arial"/>
        <family val="2"/>
      </rPr>
      <t>Référence : AP-42, tableau 1.3-1</t>
    </r>
  </si>
  <si>
    <r>
      <rPr>
        <sz val="11"/>
        <color theme="1"/>
        <rFont val="Arial"/>
        <family val="2"/>
      </rPr>
      <t>Référence : AP-42, tableau 1.3-3</t>
    </r>
  </si>
  <si>
    <r>
      <rPr>
        <sz val="11"/>
        <color theme="1"/>
        <rFont val="Arial"/>
        <family val="2"/>
      </rPr>
      <t>Référence : AP-42, tableau 1.3-4</t>
    </r>
  </si>
  <si>
    <r>
      <rPr>
        <sz val="11"/>
        <color theme="1"/>
        <rFont val="Arial"/>
        <family val="2"/>
      </rPr>
      <t>Référence : AP-42, tableau 1.3-5</t>
    </r>
  </si>
  <si>
    <r>
      <rPr>
        <sz val="11"/>
        <color theme="1"/>
        <rFont val="Arial"/>
        <family val="2"/>
      </rPr>
      <t>Référence : AP-42, tableau 1.3-7</t>
    </r>
  </si>
  <si>
    <r>
      <rPr>
        <sz val="11"/>
        <rFont val="Arial"/>
        <family val="2"/>
      </rPr>
      <t>Référence pour les COV différenciés par espèce : AP-42, tableau 1.3-9</t>
    </r>
  </si>
  <si>
    <r>
      <rPr>
        <sz val="11"/>
        <color theme="1"/>
        <rFont val="Arial"/>
        <family val="2"/>
      </rPr>
      <t>Référence : AP-42, tableau 1.3-10</t>
    </r>
  </si>
  <si>
    <r>
      <rPr>
        <sz val="11"/>
        <rFont val="Arial"/>
        <family val="2"/>
      </rPr>
      <t>Référence pour les métaux : AP-42, tableau 1.3-11</t>
    </r>
  </si>
  <si>
    <r>
      <rPr>
        <sz val="10"/>
        <color theme="1"/>
        <rFont val="Arial   "/>
      </rPr>
      <t>Teneur en soufre (pourcentage) - Caché</t>
    </r>
  </si>
  <si>
    <r>
      <rPr>
        <sz val="10"/>
        <color theme="1"/>
        <rFont val="Arial"/>
        <family val="2"/>
      </rPr>
      <t>Vanadium (et ses composés)</t>
    </r>
  </si>
  <si>
    <r>
      <rPr>
        <b/>
        <sz val="10"/>
        <color theme="1"/>
        <rFont val="Arial   "/>
      </rPr>
      <t>NO2</t>
    </r>
  </si>
  <si>
    <r>
      <rPr>
        <sz val="10"/>
        <color theme="1"/>
        <rFont val="Arial   "/>
      </rPr>
      <t>Faible excès d’air (FEA)</t>
    </r>
  </si>
  <si>
    <r>
      <rPr>
        <sz val="10"/>
        <color theme="1"/>
        <rFont val="Arial   "/>
      </rPr>
      <t>Combustion étagée (CE)</t>
    </r>
  </si>
  <si>
    <r>
      <rPr>
        <sz val="10"/>
        <color theme="1"/>
        <rFont val="Arial   "/>
      </rPr>
      <t>Brûleurs à faible émission de NOx (LNB)</t>
    </r>
  </si>
  <si>
    <r>
      <rPr>
        <sz val="10"/>
        <color theme="1"/>
        <rFont val="Arial   "/>
      </rPr>
      <t>Réduction sélective non catalytique (SNCR)</t>
    </r>
  </si>
  <si>
    <r>
      <rPr>
        <sz val="10"/>
        <color theme="1"/>
        <rFont val="Arial   "/>
      </rPr>
      <t>Recyclage des gaz de combustion (RGC)</t>
    </r>
  </si>
  <si>
    <r>
      <rPr>
        <b/>
        <sz val="10"/>
        <color theme="1"/>
        <rFont val="Arial   "/>
      </rPr>
      <t>SO2</t>
    </r>
  </si>
  <si>
    <r>
      <rPr>
        <sz val="10"/>
        <color theme="1"/>
        <rFont val="Arial   "/>
      </rPr>
      <t>Injection dans la chambre de combustion ou injection en conduite</t>
    </r>
  </si>
  <si>
    <r>
      <rPr>
        <sz val="10"/>
        <color theme="1"/>
        <rFont val="Arial   "/>
      </rPr>
      <t>Séchage par pulvérisation</t>
    </r>
  </si>
  <si>
    <r>
      <rPr>
        <sz val="10"/>
        <color theme="1"/>
        <rFont val="Arial   "/>
      </rPr>
      <t>Dépoussiéreur par voie humide (double alcali)</t>
    </r>
  </si>
  <si>
    <r>
      <rPr>
        <sz val="10"/>
        <rFont val="Arial   "/>
      </rPr>
      <t>Aucun contrôle</t>
    </r>
  </si>
  <si>
    <r>
      <rPr>
        <sz val="10"/>
        <color theme="1"/>
        <rFont val="Arial   "/>
      </rPr>
      <t>Modification du carburant - Émulsion d’eau</t>
    </r>
  </si>
  <si>
    <r>
      <rPr>
        <sz val="10"/>
        <color theme="1"/>
        <rFont val="Arial   "/>
      </rPr>
      <t>Dépoussiéreur électrique (ESP)</t>
    </r>
  </si>
  <si>
    <r>
      <rPr>
        <sz val="10"/>
        <color theme="1"/>
        <rFont val="Arial   "/>
      </rPr>
      <t>Dépoussiéreur</t>
    </r>
  </si>
  <si>
    <r>
      <rPr>
        <b/>
        <i/>
        <sz val="10"/>
        <color theme="1"/>
        <rFont val="Arial   "/>
      </rPr>
      <t>LISTE DE MP</t>
    </r>
  </si>
  <si>
    <r>
      <rPr>
        <b/>
        <sz val="10"/>
        <color theme="1"/>
        <rFont val="Arial   "/>
      </rPr>
      <t>D</t>
    </r>
  </si>
  <si>
    <r>
      <rPr>
        <b/>
        <sz val="10"/>
        <color theme="1"/>
        <rFont val="Arial   "/>
      </rPr>
      <t>Efficacité (%) pour le type de carburant</t>
    </r>
  </si>
  <si>
    <r>
      <rPr>
        <b/>
        <sz val="10"/>
        <rFont val="Arial   "/>
      </rPr>
      <t>R</t>
    </r>
  </si>
  <si>
    <r>
      <rPr>
        <b/>
        <i/>
        <sz val="10"/>
        <color theme="1"/>
        <rFont val="Arial   "/>
      </rPr>
      <t>Technique</t>
    </r>
  </si>
  <si>
    <r>
      <rPr>
        <sz val="10"/>
        <color theme="1"/>
        <rFont val="Arial   "/>
      </rPr>
      <t>Multicyclone</t>
    </r>
  </si>
  <si>
    <r>
      <rPr>
        <sz val="10"/>
        <color theme="1"/>
        <rFont val="Arial   "/>
      </rPr>
      <t>Facteurs d’efficacité du contrôle (pourcentage) - Caché</t>
    </r>
  </si>
  <si>
    <r>
      <rPr>
        <sz val="10"/>
        <color theme="1"/>
        <rFont val="Arial   "/>
      </rPr>
      <t>Dépoussiéreur par voie humide (hydroxyde de calcium/calcaire; carbonate de sodium; oxyde/hydroxyde de magnésium)</t>
    </r>
  </si>
  <si>
    <r>
      <rPr>
        <b/>
        <i/>
        <sz val="10"/>
        <color theme="1"/>
        <rFont val="Arial   "/>
      </rPr>
      <t>Contrôle du monoxyde de carbone (CO)</t>
    </r>
  </si>
  <si>
    <r>
      <rPr>
        <b/>
        <i/>
        <sz val="10"/>
        <color theme="1"/>
        <rFont val="Arial   "/>
      </rPr>
      <t>Contrôle de la matière particulaire</t>
    </r>
  </si>
  <si>
    <r>
      <rPr>
        <b/>
        <sz val="10"/>
        <color theme="1"/>
        <rFont val="Arial   "/>
      </rPr>
      <t>Efficacité (%) pour le type de chaudière</t>
    </r>
  </si>
  <si>
    <r>
      <rPr>
        <sz val="10"/>
        <color theme="1"/>
        <rFont val="Arial   "/>
      </rPr>
      <t>Huile résiduelle - INDICE</t>
    </r>
  </si>
  <si>
    <r>
      <rPr>
        <b/>
        <sz val="11"/>
        <color theme="1"/>
        <rFont val="Arial"/>
        <family val="2"/>
      </rPr>
      <t>Émissions annuelles non contrôlées</t>
    </r>
  </si>
  <si>
    <r>
      <rPr>
        <b/>
        <sz val="11"/>
        <color theme="1"/>
        <rFont val="Arial"/>
        <family val="2"/>
      </rPr>
      <t>Émissions annuelles contrôlées</t>
    </r>
  </si>
  <si>
    <r>
      <rPr>
        <b/>
        <u/>
        <sz val="10"/>
        <color theme="1"/>
        <rFont val="Arial   "/>
      </rPr>
      <t>Données d’entrée</t>
    </r>
  </si>
  <si>
    <r>
      <rPr>
        <b/>
        <sz val="10"/>
        <rFont val="Arial   "/>
      </rPr>
      <t>GJ/m</t>
    </r>
    <r>
      <rPr>
        <b/>
        <vertAlign val="superscript"/>
        <sz val="10"/>
        <rFont val="Arial   "/>
      </rPr>
      <t>3</t>
    </r>
  </si>
  <si>
    <r>
      <rPr>
        <b/>
        <i/>
        <sz val="10"/>
        <color theme="1"/>
        <rFont val="Arial   "/>
      </rPr>
      <t>Contrôle du SO</t>
    </r>
    <r>
      <rPr>
        <b/>
        <i/>
        <vertAlign val="subscript"/>
        <sz val="10"/>
        <color theme="1"/>
        <rFont val="Arial   "/>
      </rPr>
      <t>2</t>
    </r>
  </si>
  <si>
    <r>
      <rPr>
        <b/>
        <sz val="10"/>
        <color theme="1"/>
        <rFont val="Arial   "/>
      </rPr>
      <t>Section 1</t>
    </r>
  </si>
  <si>
    <r>
      <rPr>
        <b/>
        <sz val="10"/>
        <color theme="1"/>
        <rFont val="Arial   "/>
      </rPr>
      <t>Section 2</t>
    </r>
  </si>
  <si>
    <r>
      <rPr>
        <sz val="10"/>
        <rFont val="Arial   "/>
      </rPr>
      <t>Sélectionnez le type de mazout de votre chaudière ou appareil de chauffage.</t>
    </r>
  </si>
  <si>
    <r>
      <rPr>
        <sz val="10"/>
        <color theme="1"/>
        <rFont val="Arial   "/>
      </rPr>
      <t xml:space="preserve">Pour les brûleurs fonctionnant à l’huile résiduelle, sélectionnez la qualité du carburant. </t>
    </r>
  </si>
  <si>
    <r>
      <rPr>
        <b/>
        <sz val="10"/>
        <rFont val="Arial   "/>
      </rPr>
      <t>Mois</t>
    </r>
  </si>
  <si>
    <r>
      <rPr>
        <sz val="10"/>
        <color theme="1"/>
        <rFont val="Arial   "/>
      </rPr>
      <t>Janvier</t>
    </r>
  </si>
  <si>
    <r>
      <rPr>
        <sz val="10"/>
        <color theme="1"/>
        <rFont val="Arial   "/>
      </rPr>
      <t>Février</t>
    </r>
  </si>
  <si>
    <r>
      <rPr>
        <sz val="10"/>
        <color theme="1"/>
        <rFont val="Arial   "/>
      </rPr>
      <t>Mars</t>
    </r>
  </si>
  <si>
    <r>
      <rPr>
        <sz val="10"/>
        <color theme="1"/>
        <rFont val="Arial   "/>
      </rPr>
      <t xml:space="preserve">Avril </t>
    </r>
  </si>
  <si>
    <r>
      <rPr>
        <sz val="10"/>
        <color theme="1"/>
        <rFont val="Arial   "/>
      </rPr>
      <t xml:space="preserve">Mai </t>
    </r>
  </si>
  <si>
    <r>
      <rPr>
        <sz val="10"/>
        <color theme="1"/>
        <rFont val="Arial   "/>
      </rPr>
      <t>Juin</t>
    </r>
  </si>
  <si>
    <r>
      <rPr>
        <sz val="10"/>
        <color theme="1"/>
        <rFont val="Arial   "/>
      </rPr>
      <t>Juillet</t>
    </r>
  </si>
  <si>
    <r>
      <rPr>
        <sz val="10"/>
        <color theme="1"/>
        <rFont val="Arial   "/>
      </rPr>
      <t>Août</t>
    </r>
  </si>
  <si>
    <r>
      <rPr>
        <sz val="10"/>
        <color theme="1"/>
        <rFont val="Arial   "/>
      </rPr>
      <t>Octobre</t>
    </r>
  </si>
  <si>
    <r>
      <rPr>
        <sz val="10"/>
        <color theme="1"/>
        <rFont val="Arial   "/>
      </rPr>
      <t>Novembre</t>
    </r>
  </si>
  <si>
    <r>
      <rPr>
        <sz val="10"/>
        <color theme="1"/>
        <rFont val="Arial   "/>
      </rPr>
      <t>Décembre</t>
    </r>
  </si>
  <si>
    <r>
      <rPr>
        <sz val="10"/>
        <rFont val="Arial   "/>
      </rPr>
      <t>Efficacité de contrôle indiqué par le dispositif (propre au site) (pourcentage)</t>
    </r>
  </si>
  <si>
    <r>
      <rPr>
        <b/>
        <sz val="10"/>
        <color theme="1"/>
        <rFont val="Arial   "/>
      </rPr>
      <t>Section 4</t>
    </r>
  </si>
  <si>
    <r>
      <rPr>
        <b/>
        <sz val="10"/>
        <color theme="1"/>
        <rFont val="Arial   "/>
      </rPr>
      <t>Section 5</t>
    </r>
  </si>
  <si>
    <r>
      <rPr>
        <b/>
        <sz val="10"/>
        <color theme="1"/>
        <rFont val="Arial   "/>
      </rPr>
      <t>Dispositifs de contrôle des émissions</t>
    </r>
  </si>
  <si>
    <r>
      <rPr>
        <sz val="10"/>
        <color theme="1"/>
        <rFont val="Arial   "/>
      </rPr>
      <t xml:space="preserve">Sélectionnez le type de chaudière ou d’appareil de chauffage dans l’installation. </t>
    </r>
  </si>
  <si>
    <r>
      <rPr>
        <sz val="10"/>
        <color theme="1"/>
        <rFont val="Arial   "/>
      </rPr>
      <t xml:space="preserve">Si la chaudière ou l’appareil de chauffage est équipé d’un dispositif de contrôle des émissions, sélectionnez la technologie ou entrez la valeur d’efficacité du contrôle du dispositif. </t>
    </r>
  </si>
  <si>
    <r>
      <rPr>
        <b/>
        <u/>
        <sz val="14"/>
        <rFont val="Arial"/>
        <family val="2"/>
      </rPr>
      <t>Combustion de mazout - Chaudières et appareils de chauffage</t>
    </r>
  </si>
  <si>
    <r>
      <rPr>
        <b/>
        <u/>
        <sz val="10"/>
        <rFont val="Arial"/>
        <family val="2"/>
      </rPr>
      <t>Objet</t>
    </r>
  </si>
  <si>
    <r>
      <rPr>
        <b/>
        <u/>
        <sz val="10"/>
        <rFont val="Arial"/>
        <family val="2"/>
      </rPr>
      <t>Comment utiliser l’outil d’estimation</t>
    </r>
  </si>
  <si>
    <r>
      <rPr>
        <b/>
        <u/>
        <sz val="10"/>
        <rFont val="Arial"/>
        <family val="2"/>
      </rPr>
      <t>Sources d’information</t>
    </r>
  </si>
  <si>
    <r>
      <rPr>
        <b/>
        <u/>
        <sz val="10"/>
        <rFont val="Arial"/>
        <family val="2"/>
      </rPr>
      <t>Renseignements supplémentaires</t>
    </r>
  </si>
  <si>
    <r>
      <rPr>
        <b/>
        <u/>
        <sz val="10"/>
        <rFont val="Arial"/>
        <family val="2"/>
      </rPr>
      <t>Rejets des substances de la partie 1A</t>
    </r>
  </si>
  <si>
    <r>
      <rPr>
        <b/>
        <sz val="10"/>
        <rFont val="Arial"/>
        <family val="2"/>
      </rPr>
      <t>Nom de la substance</t>
    </r>
  </si>
  <si>
    <r>
      <rPr>
        <b/>
        <sz val="10"/>
        <rFont val="Arial"/>
        <family val="2"/>
      </rPr>
      <t>Cote du FE</t>
    </r>
  </si>
  <si>
    <r>
      <rPr>
        <b/>
        <sz val="10"/>
        <rFont val="Arial"/>
        <family val="2"/>
      </rPr>
      <t>Taux d’activité de l’onglet Données d’entrée</t>
    </r>
  </si>
  <si>
    <r>
      <rPr>
        <b/>
        <u/>
        <sz val="10"/>
        <rFont val="Arial"/>
        <family val="2"/>
      </rPr>
      <t>Rejets des principaux contaminants atmosphériques (PCA) de la partie 4</t>
    </r>
  </si>
  <si>
    <r>
      <rPr>
        <b/>
        <u/>
        <sz val="10"/>
        <rFont val="Arial"/>
        <family val="2"/>
      </rPr>
      <t>Rejets des composés organiques volatils ciblés de la partie 5</t>
    </r>
  </si>
  <si>
    <r>
      <rPr>
        <b/>
        <u/>
        <sz val="10"/>
        <rFont val="Arial"/>
        <family val="2"/>
      </rPr>
      <t>Rejets des substances de la partie 2</t>
    </r>
  </si>
  <si>
    <r>
      <rPr>
        <b/>
        <sz val="10"/>
        <rFont val="Arial"/>
        <family val="2"/>
      </rPr>
      <t>Taux d’activité de l’onglet Données d’entrée</t>
    </r>
  </si>
  <si>
    <t>kg</t>
  </si>
  <si>
    <r>
      <rPr>
        <b/>
        <u/>
        <sz val="10"/>
        <rFont val="Arial"/>
        <family val="2"/>
      </rPr>
      <t>Rejets des substances de la partie 3</t>
    </r>
  </si>
  <si>
    <r>
      <rPr>
        <b/>
        <sz val="10"/>
        <rFont val="Arial"/>
        <family val="2"/>
      </rPr>
      <t>Rejets totaux</t>
    </r>
  </si>
  <si>
    <r>
      <rPr>
        <b/>
        <sz val="10"/>
        <rFont val="Arial   "/>
      </rPr>
      <t xml:space="preserve">Pourcentage annuel </t>
    </r>
  </si>
  <si>
    <r>
      <rPr>
        <sz val="10"/>
        <color theme="1"/>
        <rFont val="Arial   "/>
      </rPr>
      <t>m³</t>
    </r>
  </si>
  <si>
    <r>
      <rPr>
        <b/>
        <sz val="10"/>
        <color theme="1"/>
        <rFont val="Arial   "/>
      </rPr>
      <t>Section 1-A</t>
    </r>
  </si>
  <si>
    <r>
      <rPr>
        <sz val="11"/>
        <color theme="1"/>
        <rFont val="Arial"/>
        <family val="2"/>
      </rPr>
      <t>Cote du facteur d’émission</t>
    </r>
  </si>
  <si>
    <r>
      <rPr>
        <b/>
        <u/>
        <sz val="10"/>
        <rFont val="Arial"/>
        <family val="2"/>
      </rPr>
      <t>Rejets des substances de la partie 1B</t>
    </r>
  </si>
  <si>
    <r>
      <rPr>
        <sz val="11"/>
        <color theme="1"/>
        <rFont val="Arial"/>
        <family val="2"/>
      </rPr>
      <t>A</t>
    </r>
  </si>
  <si>
    <r>
      <rPr>
        <sz val="11"/>
        <color theme="1"/>
        <rFont val="Arial"/>
        <family val="2"/>
      </rPr>
      <t>E</t>
    </r>
  </si>
  <si>
    <r>
      <rPr>
        <sz val="11"/>
        <color theme="1"/>
        <rFont val="Arial"/>
        <family val="2"/>
      </rPr>
      <t>B</t>
    </r>
  </si>
  <si>
    <r>
      <rPr>
        <sz val="11"/>
        <color theme="1"/>
        <rFont val="Arial"/>
        <family val="2"/>
      </rPr>
      <t>MPT - Cote du FE</t>
    </r>
  </si>
  <si>
    <r>
      <rPr>
        <sz val="10"/>
        <color theme="1"/>
        <rFont val="Arial"/>
        <family val="2"/>
      </rPr>
      <t>kg/m</t>
    </r>
    <r>
      <rPr>
        <vertAlign val="superscript"/>
        <sz val="10"/>
        <color theme="1"/>
        <rFont val="Arial"/>
        <family val="2"/>
      </rPr>
      <t>3</t>
    </r>
  </si>
  <si>
    <r>
      <rPr>
        <sz val="10"/>
        <color theme="1"/>
        <rFont val="Arial"/>
        <family val="2"/>
      </rPr>
      <t>kg/m</t>
    </r>
    <r>
      <rPr>
        <vertAlign val="superscript"/>
        <sz val="10"/>
        <color theme="1"/>
        <rFont val="Arial"/>
        <family val="2"/>
      </rPr>
      <t>3</t>
    </r>
  </si>
  <si>
    <r>
      <rPr>
        <sz val="10"/>
        <color theme="1"/>
        <rFont val="Arial"/>
        <family val="2"/>
      </rPr>
      <t>Xylène (tous les isomères)</t>
    </r>
  </si>
  <si>
    <r>
      <rPr>
        <sz val="10"/>
        <color theme="1"/>
        <rFont val="Arial "/>
      </rPr>
      <t>Monoxyde de carbone (CO)</t>
    </r>
  </si>
  <si>
    <r>
      <rPr>
        <sz val="10"/>
        <color theme="1"/>
        <rFont val="Arial "/>
      </rPr>
      <t>kg/m</t>
    </r>
    <r>
      <rPr>
        <vertAlign val="superscript"/>
        <sz val="10"/>
        <color theme="1"/>
        <rFont val="Arial "/>
      </rPr>
      <t>3</t>
    </r>
  </si>
  <si>
    <r>
      <rPr>
        <sz val="10"/>
        <color theme="1"/>
        <rFont val="Arial "/>
      </rPr>
      <t>kg/m</t>
    </r>
    <r>
      <rPr>
        <vertAlign val="superscript"/>
        <sz val="10"/>
        <color theme="1"/>
        <rFont val="Arial "/>
      </rPr>
      <t>3</t>
    </r>
  </si>
  <si>
    <r>
      <rPr>
        <b/>
        <sz val="10"/>
        <color theme="1"/>
        <rFont val="Arial   "/>
      </rPr>
      <t>Section 3</t>
    </r>
  </si>
  <si>
    <r>
      <rPr>
        <sz val="11"/>
        <color theme="1"/>
        <rFont val="Arial"/>
        <family val="2"/>
      </rPr>
      <t>FE</t>
    </r>
  </si>
  <si>
    <r>
      <rPr>
        <sz val="11"/>
        <color theme="1"/>
        <rFont val="Arial"/>
        <family val="2"/>
      </rPr>
      <t xml:space="preserve">Référence : AP-42, tableau 1.3-7 pour les chaudières commerciales </t>
    </r>
  </si>
  <si>
    <r>
      <rPr>
        <sz val="11"/>
        <color theme="1"/>
        <rFont val="Arial"/>
        <family val="2"/>
      </rPr>
      <t>Cote</t>
    </r>
  </si>
  <si>
    <r>
      <rPr>
        <sz val="10"/>
        <color theme="1"/>
        <rFont val="Arial   "/>
      </rPr>
      <t>Recyclage des gaz de combustion et combustion étagée</t>
    </r>
  </si>
  <si>
    <r>
      <rPr>
        <sz val="10"/>
        <color theme="1"/>
        <rFont val="Arial "/>
      </rPr>
      <t>Dioxyde de soufre (SO</t>
    </r>
    <r>
      <rPr>
        <vertAlign val="subscript"/>
        <sz val="10"/>
        <color theme="1"/>
        <rFont val="Arial "/>
      </rPr>
      <t>2</t>
    </r>
    <r>
      <rPr>
        <sz val="10"/>
        <color theme="1"/>
        <rFont val="Arial "/>
      </rPr>
      <t>)</t>
    </r>
  </si>
  <si>
    <t>Les facteurs d’émission des substances des parties 1, 2, 3, 4 et 5 proviennent de la base de données WebFIRE (version de mai 2010) et du document AP-42, chapitre 1.3 « Fuel Oil Combustion » de l’EPA (États-Unis).</t>
  </si>
  <si>
    <r>
      <rPr>
        <sz val="10"/>
        <color theme="1"/>
        <rFont val="Arial   "/>
      </rPr>
      <t>Les valeurs d’efficacité de contrôle par défaut sont fondées sur les données publiées dans le chapitre 1.3 du document AP-42 de l’EPA (États-Unis).</t>
    </r>
  </si>
  <si>
    <r>
      <rPr>
        <sz val="10"/>
        <color theme="1"/>
        <rFont val="Arial"/>
        <family val="2"/>
      </rPr>
      <t>Ce calculateur est conçu pour estimer les émissions de tous les types de chaudières et d’appareils de chauffage qui utilisent le mazout comme source de combustion. Cependant, les émissions de NO</t>
    </r>
    <r>
      <rPr>
        <vertAlign val="subscript"/>
        <sz val="10"/>
        <color theme="1"/>
        <rFont val="Arial"/>
        <family val="2"/>
      </rPr>
      <t>X</t>
    </r>
    <r>
      <rPr>
        <sz val="10"/>
        <color theme="1"/>
        <rFont val="Arial"/>
        <family val="2"/>
      </rPr>
      <t xml:space="preserve"> sont présentées pour les petites chaudières (moins de 100 MMBtu/h). Si votre installation exploite des chaudières ou des appareils de chauffage dont la puissance calorifique est supérieure à 100 MMBtu/h, il faut utiliser les facteurs d’émission de NO</t>
    </r>
    <r>
      <rPr>
        <vertAlign val="subscript"/>
        <sz val="10"/>
        <color theme="1"/>
        <rFont val="Arial"/>
        <family val="2"/>
      </rPr>
      <t>X</t>
    </r>
    <r>
      <rPr>
        <sz val="10"/>
        <color theme="1"/>
        <rFont val="Arial"/>
        <family val="2"/>
      </rPr>
      <t xml:space="preserve"> pour les « chaudières &gt; 100 millions de Btu/h » publiés dans le tableau 1.3-1 de la section 1.3 du document AP-42 de l’EPA (États-Unis) plutôt que les facteurs d’émission fournis dans ce calculateur. </t>
    </r>
  </si>
  <si>
    <r>
      <rPr>
        <sz val="10"/>
        <rFont val="Arial"/>
        <family val="2"/>
      </rPr>
      <t>Afin de préserver l’uniformité avec le logiciel de déclaration de l’INRP, ce classeur génère des valeurs à trois décimales.</t>
    </r>
  </si>
  <si>
    <r>
      <rPr>
        <sz val="11"/>
        <color theme="1"/>
        <rFont val="Arial"/>
        <family val="2"/>
      </rPr>
      <t>lb/10</t>
    </r>
    <r>
      <rPr>
        <vertAlign val="superscript"/>
        <sz val="11"/>
        <color theme="1"/>
        <rFont val="Arial"/>
        <family val="2"/>
      </rPr>
      <t>3</t>
    </r>
    <r>
      <rPr>
        <sz val="11"/>
        <color theme="1"/>
        <rFont val="Arial"/>
        <family val="2"/>
      </rPr>
      <t> gal US</t>
    </r>
  </si>
  <si>
    <r>
      <rPr>
        <sz val="11"/>
        <color theme="1"/>
        <rFont val="Arial"/>
        <family val="2"/>
      </rPr>
      <t>kg/m</t>
    </r>
    <r>
      <rPr>
        <vertAlign val="superscript"/>
        <sz val="11"/>
        <color theme="1"/>
        <rFont val="Arial"/>
        <family val="2"/>
      </rPr>
      <t>3</t>
    </r>
  </si>
  <si>
    <r>
      <rPr>
        <sz val="11"/>
        <color theme="1"/>
        <rFont val="Arial"/>
        <family val="2"/>
      </rPr>
      <t>Dioxyde de soufre (SO</t>
    </r>
    <r>
      <rPr>
        <vertAlign val="subscript"/>
        <sz val="11"/>
        <color theme="1"/>
        <rFont val="Arial"/>
        <family val="2"/>
      </rPr>
      <t>2</t>
    </r>
    <r>
      <rPr>
        <sz val="11"/>
        <color theme="1"/>
        <rFont val="Arial"/>
        <family val="2"/>
      </rPr>
      <t>)</t>
    </r>
  </si>
  <si>
    <r>
      <rPr>
        <sz val="11"/>
        <color theme="0"/>
        <rFont val="Arial"/>
        <family val="2"/>
      </rPr>
      <t>Facteur d’émission général - Huile résiduelle (lb/10</t>
    </r>
    <r>
      <rPr>
        <vertAlign val="superscript"/>
        <sz val="11"/>
        <color theme="0"/>
        <rFont val="Arial"/>
        <family val="2"/>
      </rPr>
      <t>3</t>
    </r>
    <r>
      <rPr>
        <sz val="11"/>
        <color theme="0"/>
        <rFont val="Arial"/>
        <family val="2"/>
      </rPr>
      <t> gal US)</t>
    </r>
  </si>
  <si>
    <r>
      <rPr>
        <sz val="11"/>
        <color theme="1"/>
        <rFont val="Arial"/>
        <family val="2"/>
      </rPr>
      <t>SO</t>
    </r>
    <r>
      <rPr>
        <vertAlign val="subscript"/>
        <sz val="11"/>
        <color theme="1"/>
        <rFont val="Arial"/>
        <family val="2"/>
      </rPr>
      <t>2</t>
    </r>
  </si>
  <si>
    <r>
      <rPr>
        <sz val="11"/>
        <color theme="1"/>
        <rFont val="Arial"/>
        <family val="2"/>
      </rPr>
      <t>NO</t>
    </r>
    <r>
      <rPr>
        <vertAlign val="subscript"/>
        <sz val="11"/>
        <color theme="1"/>
        <rFont val="Arial"/>
        <family val="2"/>
      </rPr>
      <t>X</t>
    </r>
  </si>
  <si>
    <r>
      <rPr>
        <b/>
        <sz val="11"/>
        <color theme="0"/>
        <rFont val="Arial"/>
        <family val="2"/>
      </rPr>
      <t>Facteur d’émission des COV (lb/10</t>
    </r>
    <r>
      <rPr>
        <b/>
        <vertAlign val="superscript"/>
        <sz val="11"/>
        <color theme="0"/>
        <rFont val="Arial"/>
        <family val="2"/>
      </rPr>
      <t>3</t>
    </r>
    <r>
      <rPr>
        <b/>
        <sz val="11"/>
        <color theme="0"/>
        <rFont val="Arial"/>
        <family val="2"/>
      </rPr>
      <t> gal US)</t>
    </r>
  </si>
  <si>
    <r>
      <rPr>
        <sz val="11"/>
        <rFont val="Arial"/>
        <family val="2"/>
      </rPr>
      <t>Référence pour SO</t>
    </r>
    <r>
      <rPr>
        <vertAlign val="subscript"/>
        <sz val="11"/>
        <rFont val="Arial"/>
        <family val="2"/>
      </rPr>
      <t>2</t>
    </r>
    <r>
      <rPr>
        <sz val="11"/>
        <rFont val="Arial"/>
        <family val="2"/>
      </rPr>
      <t>, CO, NO</t>
    </r>
    <r>
      <rPr>
        <vertAlign val="subscript"/>
        <sz val="11"/>
        <rFont val="Arial"/>
        <family val="2"/>
      </rPr>
      <t>X</t>
    </r>
    <r>
      <rPr>
        <sz val="11"/>
        <rFont val="Arial"/>
        <family val="2"/>
      </rPr>
      <t>, MPT : AP-42, tableau 1.3-1</t>
    </r>
  </si>
  <si>
    <r>
      <rPr>
        <sz val="11"/>
        <color theme="1"/>
        <rFont val="Arial"/>
        <family val="2"/>
      </rPr>
      <t>lb/10</t>
    </r>
    <r>
      <rPr>
        <vertAlign val="superscript"/>
        <sz val="11"/>
        <color theme="1"/>
        <rFont val="Arial"/>
        <family val="2"/>
      </rPr>
      <t>12</t>
    </r>
    <r>
      <rPr>
        <sz val="11"/>
        <color theme="1"/>
        <rFont val="Arial"/>
        <family val="2"/>
      </rPr>
      <t> BTU</t>
    </r>
  </si>
  <si>
    <r>
      <rPr>
        <sz val="11"/>
        <color theme="1"/>
        <rFont val="Arial"/>
        <family val="2"/>
      </rPr>
      <t>GJ/m</t>
    </r>
    <r>
      <rPr>
        <vertAlign val="superscript"/>
        <sz val="11"/>
        <color theme="1"/>
        <rFont val="Arial"/>
        <family val="2"/>
      </rPr>
      <t>3</t>
    </r>
  </si>
  <si>
    <r>
      <rPr>
        <sz val="11"/>
        <color theme="1"/>
        <rFont val="Arial"/>
        <family val="2"/>
      </rPr>
      <t>Matrice du type de chaudière, de la cote et du facteur d’émission (MP</t>
    </r>
    <r>
      <rPr>
        <vertAlign val="subscript"/>
        <sz val="11"/>
        <color theme="1"/>
        <rFont val="Arial"/>
        <family val="2"/>
      </rPr>
      <t>10</t>
    </r>
    <r>
      <rPr>
        <sz val="11"/>
        <color theme="1"/>
        <rFont val="Arial"/>
        <family val="2"/>
      </rPr>
      <t>, MP</t>
    </r>
    <r>
      <rPr>
        <vertAlign val="subscript"/>
        <sz val="11"/>
        <color theme="1"/>
        <rFont val="Arial"/>
        <family val="2"/>
      </rPr>
      <t>2,5</t>
    </r>
    <r>
      <rPr>
        <sz val="11"/>
        <color theme="1"/>
        <rFont val="Arial"/>
        <family val="2"/>
      </rPr>
      <t>, COV)</t>
    </r>
  </si>
  <si>
    <r>
      <rPr>
        <b/>
        <sz val="11"/>
        <color theme="0"/>
        <rFont val="Arial"/>
        <family val="2"/>
      </rPr>
      <t>Facteur d’émission des COV (lb/10</t>
    </r>
    <r>
      <rPr>
        <b/>
        <vertAlign val="superscript"/>
        <sz val="11"/>
        <color theme="0"/>
        <rFont val="Arial"/>
        <family val="2"/>
      </rPr>
      <t>3</t>
    </r>
    <r>
      <rPr>
        <b/>
        <sz val="11"/>
        <color theme="0"/>
        <rFont val="Arial"/>
        <family val="2"/>
      </rPr>
      <t> gal US)</t>
    </r>
  </si>
  <si>
    <r>
      <rPr>
        <sz val="10"/>
        <color theme="1"/>
        <rFont val="Arial"/>
        <family val="2"/>
      </rPr>
      <t>Acénaphthylène</t>
    </r>
  </si>
  <si>
    <r>
      <rPr>
        <sz val="10"/>
        <color theme="1"/>
        <rFont val="Arial   "/>
      </rPr>
      <t>Septembre</t>
    </r>
  </si>
  <si>
    <r>
      <rPr>
        <sz val="10"/>
        <color theme="1"/>
        <rFont val="Arial   "/>
      </rPr>
      <t xml:space="preserve">La teneur en soufre est exprimée en pourcentage du poids. Pour 1 %, entrez « 1 ».  
Si la teneur en soufre n’est pas disponible, sélectionnez une région et un type de combustible pour utiliser la teneur en soufre par défaut.  </t>
    </r>
  </si>
  <si>
    <r>
      <rPr>
        <b/>
        <sz val="10"/>
        <rFont val="Arial"/>
        <family val="2"/>
      </rPr>
      <t>Facteur d’émission (FE)</t>
    </r>
  </si>
  <si>
    <r>
      <rPr>
        <sz val="10"/>
        <rFont val="Arial"/>
        <family val="2"/>
      </rPr>
      <t xml:space="preserve">Pour obtenir la description des cotes des FE, consultez le site web de l’INRP sous la rubrique Boîte à outils de l’INRP. </t>
    </r>
  </si>
  <si>
    <r>
      <rPr>
        <b/>
        <sz val="10"/>
        <rFont val="Arial"/>
        <family val="2"/>
      </rPr>
      <t>Partie de l’INRP</t>
    </r>
  </si>
  <si>
    <r>
      <rPr>
        <sz val="11"/>
        <color theme="1"/>
        <rFont val="Arial"/>
        <family val="2"/>
      </rPr>
      <t>PCS - à partir des données d’entrée</t>
    </r>
  </si>
  <si>
    <r>
      <rPr>
        <sz val="11"/>
        <color theme="1"/>
        <rFont val="Arial"/>
        <family val="2"/>
      </rPr>
      <t>Référence : AP-42, tableau 1.3-6 pour les chaudières industrielles</t>
    </r>
  </si>
  <si>
    <r>
      <rPr>
        <sz val="11"/>
        <color theme="1"/>
        <rFont val="Arial"/>
        <family val="2"/>
      </rPr>
      <t xml:space="preserve">La même valeur a été prise en compte pour les chaudières des services publics et les chaudières industrielles qui utilisent du mazout léger.  </t>
    </r>
  </si>
  <si>
    <r>
      <rPr>
        <b/>
        <sz val="10"/>
        <color theme="1"/>
        <rFont val="Arial   "/>
      </rPr>
      <t>Sélection du mazout</t>
    </r>
  </si>
  <si>
    <r>
      <rPr>
        <b/>
        <sz val="10"/>
        <rFont val="Arial   "/>
      </rPr>
      <t>Utilisation du mazout</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</si>
  <si>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</si>
  <si>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</si>
  <si>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</si>
  <si>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</si>
  <si>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</si>
  <si>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</si>
  <si>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</si>
  <si>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</si>
  <si>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</si>
  <si>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</si>
  <si>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</si>
  <si>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sz val="10"/>
        <color theme="1"/>
        <rFont val="Arial   "/>
      </rPr>
      <t>m³</t>
    </r>
  </si>
  <si>
    <r>
      <rPr>
        <b/>
        <sz val="10"/>
        <color theme="1"/>
        <rFont val="Arial   "/>
      </rPr>
      <t>Type de chaudière ou d’appareil de chauffage</t>
    </r>
  </si>
  <si>
    <r>
      <rPr>
        <sz val="10"/>
        <rFont val="Arial   "/>
      </rPr>
      <t>Aucun contrôle</t>
    </r>
  </si>
  <si>
    <r>
      <rPr>
        <sz val="10"/>
        <rFont val="Arial   "/>
      </rPr>
      <t>Efficacité de contrôle indiqué par le dispositif (propre au site) (pourcentage)</t>
    </r>
  </si>
  <si>
    <r>
      <rPr>
        <sz val="10"/>
        <rFont val="Arial   "/>
      </rPr>
      <t>Aucun contrôle</t>
    </r>
  </si>
  <si>
    <r>
      <rPr>
        <sz val="10"/>
        <rFont val="Arial   "/>
      </rPr>
      <t>Efficacité de contrôle indiqué par le dispositif (propre au site) (pourcentage)</t>
    </r>
  </si>
  <si>
    <r>
      <rPr>
        <sz val="10"/>
        <rFont val="Arial   "/>
      </rPr>
      <t>Aucun contrôle</t>
    </r>
  </si>
  <si>
    <r>
      <rPr>
        <sz val="10"/>
        <rFont val="Arial   "/>
      </rPr>
      <t>Efficacité de contrôle indiqué par le dispositif (propre au site) (pourcentage)</t>
    </r>
  </si>
  <si>
    <r>
      <rPr>
        <sz val="10"/>
        <color theme="1"/>
        <rFont val="Arial   "/>
      </rPr>
      <t>Échelle nationale</t>
    </r>
  </si>
  <si>
    <r>
      <rPr>
        <sz val="10"/>
        <color theme="1"/>
        <rFont val="Arial   "/>
      </rPr>
      <t>Carburant diesel à très faible teneur en soufre</t>
    </r>
  </si>
  <si>
    <r>
      <rPr>
        <sz val="10"/>
        <color theme="1"/>
        <rFont val="Arial   "/>
      </rPr>
      <t>Aucun contrôle</t>
    </r>
  </si>
  <si>
    <r>
      <rPr>
        <b/>
        <sz val="10"/>
        <color theme="1"/>
        <rFont val="Arial   "/>
      </rPr>
      <t>Efficacité (%) pour le type de carburant</t>
    </r>
  </si>
  <si>
    <r>
      <rPr>
        <b/>
        <i/>
        <sz val="10"/>
        <color theme="1"/>
        <rFont val="Arial   "/>
      </rPr>
      <t>Technique</t>
    </r>
  </si>
  <si>
    <r>
      <rPr>
        <b/>
        <sz val="10"/>
        <color theme="1"/>
        <rFont val="Arial   "/>
      </rPr>
      <t>D</t>
    </r>
  </si>
  <si>
    <r>
      <rPr>
        <b/>
        <sz val="10"/>
        <rFont val="Arial   "/>
      </rPr>
      <t>R</t>
    </r>
  </si>
  <si>
    <r>
      <rPr>
        <sz val="10"/>
        <color theme="1"/>
        <rFont val="Arial   "/>
      </rPr>
      <t>Aucun contrôle</t>
    </r>
  </si>
  <si>
    <r>
      <rPr>
        <b/>
        <sz val="10"/>
        <color theme="1"/>
        <rFont val="Arial   "/>
      </rPr>
      <t>Efficacité (%) pour le type de carburant</t>
    </r>
  </si>
  <si>
    <r>
      <rPr>
        <b/>
        <i/>
        <sz val="10"/>
        <color theme="1"/>
        <rFont val="Arial   "/>
      </rPr>
      <t>Technique</t>
    </r>
  </si>
  <si>
    <r>
      <rPr>
        <b/>
        <sz val="10"/>
        <color theme="1"/>
        <rFont val="Arial   "/>
      </rPr>
      <t>D</t>
    </r>
  </si>
  <si>
    <r>
      <rPr>
        <b/>
        <sz val="10"/>
        <rFont val="Arial   "/>
      </rPr>
      <t>R</t>
    </r>
  </si>
  <si>
    <r>
      <rPr>
        <sz val="10"/>
        <color theme="1"/>
        <rFont val="Arial   "/>
      </rPr>
      <t>Aucun contrôle</t>
    </r>
  </si>
  <si>
    <r>
      <rPr>
        <sz val="10"/>
        <color theme="1"/>
        <rFont val="Arial   "/>
      </rPr>
      <t>Modification du carburant - Émulsion d’eau</t>
    </r>
  </si>
  <si>
    <r>
      <rPr>
        <b/>
        <i/>
        <sz val="10"/>
        <color theme="1"/>
        <rFont val="Arial   "/>
      </rPr>
      <t>Technique</t>
    </r>
  </si>
  <si>
    <r>
      <rPr>
        <sz val="10"/>
        <color theme="1"/>
        <rFont val="Arial   "/>
      </rPr>
      <t>Aucun contrôle</t>
    </r>
  </si>
  <si>
    <r>
      <rPr>
        <sz val="10"/>
        <color theme="1"/>
        <rFont val="Arial   "/>
      </rPr>
      <t>Modification du carburant - Émulsion d’eau</t>
    </r>
  </si>
  <si>
    <r>
      <rPr>
        <sz val="10"/>
        <color theme="1"/>
        <rFont val="Arial"/>
        <family val="2"/>
      </rPr>
      <t>Éthylbenzène</t>
    </r>
  </si>
  <si>
    <r>
      <rPr>
        <sz val="10"/>
        <rFont val="Arial"/>
        <family val="2"/>
      </rPr>
      <t>100-41-4</t>
    </r>
  </si>
  <si>
    <r>
      <rPr>
        <sz val="10"/>
        <color theme="1"/>
        <rFont val="Arial"/>
        <family val="2"/>
      </rPr>
      <t>Toluène</t>
    </r>
  </si>
  <si>
    <r>
      <rPr>
        <sz val="10"/>
        <rFont val="Arial"/>
        <family val="2"/>
      </rPr>
      <t>108-88-3</t>
    </r>
  </si>
  <si>
    <r>
      <rPr>
        <sz val="10"/>
        <color theme="1"/>
        <rFont val="Arial"/>
        <family val="2"/>
      </rPr>
      <t>kg/m</t>
    </r>
    <r>
      <rPr>
        <vertAlign val="superscript"/>
        <sz val="10"/>
        <color theme="1"/>
        <rFont val="Arial"/>
        <family val="2"/>
      </rPr>
      <t>3</t>
    </r>
  </si>
  <si>
    <r>
      <rPr>
        <sz val="10"/>
        <color theme="1"/>
        <rFont val="Arial"/>
        <family val="2"/>
      </rPr>
      <t>Xylène (tous les isomères)</t>
    </r>
  </si>
  <si>
    <r>
      <rPr>
        <sz val="10"/>
        <rFont val="Arial"/>
        <family val="2"/>
      </rPr>
      <t>1330-20-7</t>
    </r>
  </si>
  <si>
    <r>
      <rPr>
        <sz val="10"/>
        <color theme="1"/>
        <rFont val="Arial"/>
        <family val="2"/>
      </rPr>
      <t>Formaldéhyde</t>
    </r>
  </si>
  <si>
    <r>
      <rPr>
        <sz val="10"/>
        <rFont val="Arial"/>
        <family val="2"/>
      </rPr>
      <t>50-00-0</t>
    </r>
  </si>
  <si>
    <r>
      <rPr>
        <sz val="10"/>
        <color theme="1"/>
        <rFont val="Arial"/>
        <family val="2"/>
      </rPr>
      <t>kg/m</t>
    </r>
    <r>
      <rPr>
        <vertAlign val="superscript"/>
        <sz val="10"/>
        <color theme="1"/>
        <rFont val="Arial"/>
        <family val="2"/>
      </rPr>
      <t>3</t>
    </r>
  </si>
  <si>
    <r>
      <rPr>
        <sz val="10"/>
        <color theme="1"/>
        <rFont val="Arial"/>
        <family val="2"/>
      </rPr>
      <t>Benzène</t>
    </r>
  </si>
  <si>
    <r>
      <rPr>
        <sz val="10"/>
        <rFont val="Arial"/>
        <family val="2"/>
      </rPr>
      <t>71-43-2</t>
    </r>
  </si>
  <si>
    <r>
      <rPr>
        <sz val="10"/>
        <color theme="1"/>
        <rFont val="Arial"/>
        <family val="2"/>
      </rPr>
      <t>kg/m</t>
    </r>
    <r>
      <rPr>
        <vertAlign val="superscript"/>
        <sz val="10"/>
        <color theme="1"/>
        <rFont val="Arial"/>
        <family val="2"/>
      </rPr>
      <t>3</t>
    </r>
  </si>
  <si>
    <r>
      <rPr>
        <sz val="10"/>
        <color theme="1"/>
        <rFont val="Arial"/>
        <family val="2"/>
      </rPr>
      <t>Naphtalène</t>
    </r>
  </si>
  <si>
    <r>
      <rPr>
        <sz val="10"/>
        <rFont val="Arial"/>
        <family val="2"/>
      </rPr>
      <t>91-20-3</t>
    </r>
  </si>
  <si>
    <r>
      <rPr>
        <sz val="10"/>
        <color theme="1"/>
        <rFont val="Arial"/>
        <family val="2"/>
      </rPr>
      <t>kg/m</t>
    </r>
    <r>
      <rPr>
        <vertAlign val="superscript"/>
        <sz val="10"/>
        <color theme="1"/>
        <rFont val="Arial"/>
        <family val="2"/>
      </rPr>
      <t>3</t>
    </r>
  </si>
  <si>
    <r>
      <rPr>
        <sz val="10"/>
        <color theme="1"/>
        <rFont val="Arial"/>
        <family val="2"/>
      </rPr>
      <t>Antimoine (et ses composés)</t>
    </r>
  </si>
  <si>
    <r>
      <rPr>
        <sz val="10"/>
        <rFont val="Arial"/>
        <family val="2"/>
      </rPr>
      <t>NA - 01</t>
    </r>
  </si>
  <si>
    <r>
      <rPr>
        <sz val="10"/>
        <color theme="1"/>
        <rFont val="Arial"/>
        <family val="2"/>
      </rPr>
      <t>kg/m</t>
    </r>
    <r>
      <rPr>
        <vertAlign val="superscript"/>
        <sz val="10"/>
        <color theme="1"/>
        <rFont val="Arial"/>
        <family val="2"/>
      </rPr>
      <t>3</t>
    </r>
  </si>
  <si>
    <r>
      <rPr>
        <sz val="10"/>
        <rFont val="Arial"/>
        <family val="2"/>
      </rPr>
      <t>NA - 04</t>
    </r>
  </si>
  <si>
    <r>
      <rPr>
        <sz val="10"/>
        <color theme="1"/>
        <rFont val="Arial"/>
        <family val="2"/>
      </rPr>
      <t>kg/m</t>
    </r>
    <r>
      <rPr>
        <vertAlign val="superscript"/>
        <sz val="10"/>
        <color theme="1"/>
        <rFont val="Arial"/>
        <family val="2"/>
      </rPr>
      <t>3</t>
    </r>
  </si>
  <si>
    <r>
      <rPr>
        <sz val="10"/>
        <rFont val="Arial"/>
        <family val="2"/>
      </rPr>
      <t>NA - 06</t>
    </r>
  </si>
  <si>
    <r>
      <rPr>
        <sz val="10"/>
        <color theme="1"/>
        <rFont val="Arial"/>
        <family val="2"/>
      </rPr>
      <t>kg/m</t>
    </r>
    <r>
      <rPr>
        <vertAlign val="superscript"/>
        <sz val="10"/>
        <color theme="1"/>
        <rFont val="Arial"/>
        <family val="2"/>
      </rPr>
      <t>3</t>
    </r>
  </si>
  <si>
    <r>
      <rPr>
        <sz val="10"/>
        <color theme="1"/>
        <rFont val="Arial"/>
        <family val="2"/>
      </rPr>
      <t>Manganèse (et ses composés)</t>
    </r>
  </si>
  <si>
    <r>
      <rPr>
        <sz val="10"/>
        <rFont val="Arial"/>
        <family val="2"/>
      </rPr>
      <t>NA - 09</t>
    </r>
  </si>
  <si>
    <r>
      <rPr>
        <sz val="10"/>
        <color theme="1"/>
        <rFont val="Arial"/>
        <family val="2"/>
      </rPr>
      <t>kg/m</t>
    </r>
    <r>
      <rPr>
        <vertAlign val="superscript"/>
        <sz val="10"/>
        <color theme="1"/>
        <rFont val="Arial"/>
        <family val="2"/>
      </rPr>
      <t>3</t>
    </r>
  </si>
  <si>
    <r>
      <rPr>
        <sz val="10"/>
        <color theme="1"/>
        <rFont val="Arial"/>
        <family val="2"/>
      </rPr>
      <t>Nickel (et ses composés)</t>
    </r>
  </si>
  <si>
    <r>
      <rPr>
        <sz val="10"/>
        <rFont val="Arial"/>
        <family val="2"/>
      </rPr>
      <t>NA - 11</t>
    </r>
  </si>
  <si>
    <r>
      <rPr>
        <sz val="10"/>
        <color theme="1"/>
        <rFont val="Arial"/>
        <family val="2"/>
      </rPr>
      <t>kg/m</t>
    </r>
    <r>
      <rPr>
        <vertAlign val="superscript"/>
        <sz val="10"/>
        <color theme="1"/>
        <rFont val="Arial"/>
        <family val="2"/>
      </rPr>
      <t>3</t>
    </r>
  </si>
  <si>
    <r>
      <rPr>
        <sz val="10"/>
        <color theme="1"/>
        <rFont val="Arial"/>
        <family val="2"/>
      </rPr>
      <t>Zinc (et ses composés)</t>
    </r>
  </si>
  <si>
    <r>
      <rPr>
        <sz val="10"/>
        <rFont val="Arial"/>
        <family val="2"/>
      </rPr>
      <t>NA - 14</t>
    </r>
  </si>
  <si>
    <r>
      <rPr>
        <sz val="10"/>
        <color theme="1"/>
        <rFont val="Arial"/>
        <family val="2"/>
      </rPr>
      <t>kg/m</t>
    </r>
    <r>
      <rPr>
        <vertAlign val="superscript"/>
        <sz val="10"/>
        <color theme="1"/>
        <rFont val="Arial"/>
        <family val="2"/>
      </rPr>
      <t>3</t>
    </r>
  </si>
  <si>
    <r>
      <rPr>
        <sz val="10"/>
        <rFont val="Arial"/>
        <family val="2"/>
      </rPr>
      <t>NA - 22</t>
    </r>
  </si>
  <si>
    <r>
      <rPr>
        <sz val="10"/>
        <color theme="1"/>
        <rFont val="Arial"/>
        <family val="2"/>
      </rPr>
      <t>kg/m</t>
    </r>
    <r>
      <rPr>
        <vertAlign val="superscript"/>
        <sz val="10"/>
        <color theme="1"/>
        <rFont val="Arial"/>
        <family val="2"/>
      </rPr>
      <t>3</t>
    </r>
  </si>
  <si>
    <r>
      <rPr>
        <sz val="10"/>
        <rFont val="Arial"/>
        <family val="2"/>
      </rPr>
      <t>NA - 40</t>
    </r>
  </si>
  <si>
    <r>
      <rPr>
        <sz val="10"/>
        <color theme="1"/>
        <rFont val="Arial"/>
        <family val="2"/>
      </rPr>
      <t>kg/m</t>
    </r>
    <r>
      <rPr>
        <vertAlign val="superscript"/>
        <sz val="10"/>
        <color theme="1"/>
        <rFont val="Arial"/>
        <family val="2"/>
      </rPr>
      <t>3</t>
    </r>
  </si>
  <si>
    <r>
      <rPr>
        <b/>
        <sz val="10"/>
        <rFont val="Arial"/>
        <family val="2"/>
      </rPr>
      <t>Nom de la substance</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</si>
  <si>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</si>
  <si>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</si>
  <si>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</si>
  <si>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</si>
  <si>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color theme="1"/>
        <rFont val="Arial"/>
        <family val="2"/>
      </rPr>
      <t>Arsenic (et ses composés)</t>
    </r>
  </si>
  <si>
    <r>
      <rPr>
        <sz val="10"/>
        <rFont val="Arial"/>
        <family val="2"/>
      </rPr>
      <t>NA - 02</t>
    </r>
  </si>
  <si>
    <r>
      <rPr>
        <sz val="10"/>
        <color theme="1"/>
        <rFont val="Arial"/>
        <family val="2"/>
      </rPr>
      <t>kg/m</t>
    </r>
    <r>
      <rPr>
        <vertAlign val="superscript"/>
        <sz val="10"/>
        <color theme="1"/>
        <rFont val="Arial"/>
        <family val="2"/>
      </rPr>
      <t>3</t>
    </r>
  </si>
  <si>
    <r>
      <rPr>
        <sz val="10"/>
        <color theme="1"/>
        <rFont val="Arial"/>
        <family val="2"/>
      </rPr>
      <t>Cadmium (et ses composés)</t>
    </r>
  </si>
  <si>
    <r>
      <rPr>
        <sz val="10"/>
        <rFont val="Arial"/>
        <family val="2"/>
      </rPr>
      <t>NA - 03</t>
    </r>
  </si>
  <si>
    <r>
      <rPr>
        <sz val="10"/>
        <color theme="1"/>
        <rFont val="Arial"/>
        <family val="2"/>
      </rPr>
      <t>kg/m</t>
    </r>
    <r>
      <rPr>
        <vertAlign val="superscript"/>
        <sz val="10"/>
        <color theme="1"/>
        <rFont val="Arial"/>
        <family val="2"/>
      </rPr>
      <t>3</t>
    </r>
  </si>
  <si>
    <t>kg</t>
  </si>
  <si>
    <r>
      <rPr>
        <sz val="10"/>
        <color theme="1"/>
        <rFont val="Arial"/>
        <family val="2"/>
      </rPr>
      <t>Cobalt (et ses composés)</t>
    </r>
  </si>
  <si>
    <r>
      <rPr>
        <sz val="10"/>
        <rFont val="Arial"/>
        <family val="2"/>
      </rPr>
      <t>NA - 05</t>
    </r>
  </si>
  <si>
    <r>
      <rPr>
        <sz val="10"/>
        <color theme="1"/>
        <rFont val="Arial"/>
        <family val="2"/>
      </rPr>
      <t>kg/m</t>
    </r>
    <r>
      <rPr>
        <vertAlign val="superscript"/>
        <sz val="10"/>
        <color theme="1"/>
        <rFont val="Arial"/>
        <family val="2"/>
      </rPr>
      <t>3</t>
    </r>
  </si>
  <si>
    <t>kg</t>
  </si>
  <si>
    <r>
      <rPr>
        <sz val="10"/>
        <rFont val="Arial"/>
        <family val="2"/>
      </rPr>
      <t>NA - 08</t>
    </r>
  </si>
  <si>
    <r>
      <rPr>
        <sz val="10"/>
        <color theme="1"/>
        <rFont val="Arial"/>
        <family val="2"/>
      </rPr>
      <t>kg/m</t>
    </r>
    <r>
      <rPr>
        <vertAlign val="superscript"/>
        <sz val="10"/>
        <color theme="1"/>
        <rFont val="Arial"/>
        <family val="2"/>
      </rPr>
      <t>3</t>
    </r>
  </si>
  <si>
    <t>kg</t>
  </si>
  <si>
    <r>
      <rPr>
        <sz val="10"/>
        <color theme="1"/>
        <rFont val="Arial"/>
        <family val="2"/>
      </rPr>
      <t>Mercure (et ses composés)</t>
    </r>
  </si>
  <si>
    <r>
      <rPr>
        <sz val="10"/>
        <rFont val="Arial"/>
        <family val="2"/>
      </rPr>
      <t>NA - 10</t>
    </r>
  </si>
  <si>
    <r>
      <rPr>
        <sz val="10"/>
        <color theme="1"/>
        <rFont val="Arial"/>
        <family val="2"/>
      </rPr>
      <t>kg/m</t>
    </r>
    <r>
      <rPr>
        <vertAlign val="superscript"/>
        <sz val="10"/>
        <color theme="1"/>
        <rFont val="Arial"/>
        <family val="2"/>
      </rPr>
      <t>3</t>
    </r>
  </si>
  <si>
    <t>kg</t>
  </si>
  <si>
    <r>
      <rPr>
        <sz val="10"/>
        <color theme="1"/>
        <rFont val="Arial"/>
        <family val="2"/>
      </rPr>
      <t>Sélénium (et ses composés)</t>
    </r>
  </si>
  <si>
    <r>
      <rPr>
        <sz val="10"/>
        <rFont val="Arial"/>
        <family val="2"/>
      </rPr>
      <t>NA - 12</t>
    </r>
  </si>
  <si>
    <r>
      <rPr>
        <sz val="10"/>
        <color theme="1"/>
        <rFont val="Arial"/>
        <family val="2"/>
      </rPr>
      <t>kg/m</t>
    </r>
    <r>
      <rPr>
        <vertAlign val="superscript"/>
        <sz val="10"/>
        <color theme="1"/>
        <rFont val="Arial"/>
        <family val="2"/>
      </rPr>
      <t>3</t>
    </r>
  </si>
  <si>
    <t>kg</t>
  </si>
  <si>
    <r>
      <rPr>
        <sz val="10"/>
        <rFont val="Arial"/>
        <family val="2"/>
      </rPr>
      <t>NA - 19</t>
    </r>
  </si>
  <si>
    <r>
      <rPr>
        <sz val="10"/>
        <color theme="1"/>
        <rFont val="Arial"/>
        <family val="2"/>
      </rPr>
      <t>kg/m</t>
    </r>
    <r>
      <rPr>
        <vertAlign val="superscript"/>
        <sz val="10"/>
        <color theme="1"/>
        <rFont val="Arial"/>
        <family val="2"/>
      </rPr>
      <t>3</t>
    </r>
  </si>
  <si>
    <t>kg</t>
  </si>
  <si>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</si>
  <si>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</si>
  <si>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</si>
  <si>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</si>
  <si>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</si>
  <si>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Rejets totaux</t>
    </r>
  </si>
  <si>
    <r>
      <rPr>
        <sz val="10"/>
        <color theme="1"/>
        <rFont val="Arial"/>
        <family val="2"/>
      </rPr>
      <t>Acénaphthène</t>
    </r>
  </si>
  <si>
    <r>
      <rPr>
        <sz val="10"/>
        <rFont val="Arial"/>
        <family val="2"/>
      </rPr>
      <t>83-32-9</t>
    </r>
  </si>
  <si>
    <r>
      <rPr>
        <sz val="10"/>
        <color theme="1"/>
        <rFont val="Arial"/>
        <family val="2"/>
      </rPr>
      <t>kg/m</t>
    </r>
    <r>
      <rPr>
        <vertAlign val="superscript"/>
        <sz val="10"/>
        <color theme="1"/>
        <rFont val="Arial"/>
        <family val="2"/>
      </rPr>
      <t>3</t>
    </r>
  </si>
  <si>
    <r>
      <rPr>
        <sz val="10"/>
        <rFont val="Arial"/>
        <family val="2"/>
      </rPr>
      <t>208-96-8</t>
    </r>
  </si>
  <si>
    <r>
      <rPr>
        <sz val="10"/>
        <color theme="1"/>
        <rFont val="Arial"/>
        <family val="2"/>
      </rPr>
      <t>kg/m</t>
    </r>
    <r>
      <rPr>
        <vertAlign val="superscript"/>
        <sz val="10"/>
        <color theme="1"/>
        <rFont val="Arial"/>
        <family val="2"/>
      </rPr>
      <t>3</t>
    </r>
  </si>
  <si>
    <r>
      <rPr>
        <sz val="10"/>
        <color theme="1"/>
        <rFont val="Arial"/>
        <family val="2"/>
      </rPr>
      <t>Anthracène</t>
    </r>
  </si>
  <si>
    <r>
      <rPr>
        <sz val="10"/>
        <rFont val="Arial"/>
        <family val="2"/>
      </rPr>
      <t>120-12-7</t>
    </r>
  </si>
  <si>
    <r>
      <rPr>
        <sz val="10"/>
        <color theme="1"/>
        <rFont val="Arial"/>
        <family val="2"/>
      </rPr>
      <t>kg/m</t>
    </r>
    <r>
      <rPr>
        <vertAlign val="superscript"/>
        <sz val="10"/>
        <color theme="1"/>
        <rFont val="Arial"/>
        <family val="2"/>
      </rPr>
      <t>3</t>
    </r>
  </si>
  <si>
    <r>
      <rPr>
        <sz val="10"/>
        <rFont val="Arial"/>
        <family val="2"/>
      </rPr>
      <t>56-55-3</t>
    </r>
  </si>
  <si>
    <r>
      <rPr>
        <sz val="10"/>
        <color theme="1"/>
        <rFont val="Arial"/>
        <family val="2"/>
      </rPr>
      <t>kg/m</t>
    </r>
    <r>
      <rPr>
        <vertAlign val="superscript"/>
        <sz val="10"/>
        <color theme="1"/>
        <rFont val="Arial"/>
        <family val="2"/>
      </rPr>
      <t>3</t>
    </r>
  </si>
  <si>
    <r>
      <rPr>
        <sz val="10"/>
        <rFont val="Arial"/>
        <family val="2"/>
      </rPr>
      <t>218-01-9</t>
    </r>
  </si>
  <si>
    <r>
      <rPr>
        <sz val="10"/>
        <color theme="1"/>
        <rFont val="Arial"/>
        <family val="2"/>
      </rPr>
      <t>kg/m</t>
    </r>
    <r>
      <rPr>
        <vertAlign val="superscript"/>
        <sz val="10"/>
        <color theme="1"/>
        <rFont val="Arial"/>
        <family val="2"/>
      </rPr>
      <t>3</t>
    </r>
  </si>
  <si>
    <r>
      <rPr>
        <sz val="10"/>
        <rFont val="Arial"/>
        <family val="2"/>
      </rPr>
      <t>205-99-2</t>
    </r>
  </si>
  <si>
    <r>
      <rPr>
        <sz val="10"/>
        <color theme="1"/>
        <rFont val="Arial"/>
        <family val="2"/>
      </rPr>
      <t>kg/m</t>
    </r>
    <r>
      <rPr>
        <vertAlign val="superscript"/>
        <sz val="10"/>
        <color theme="1"/>
        <rFont val="Arial"/>
        <family val="2"/>
      </rPr>
      <t>3</t>
    </r>
  </si>
  <si>
    <r>
      <rPr>
        <sz val="10"/>
        <rFont val="Arial"/>
        <family val="2"/>
      </rPr>
      <t>191-24-2</t>
    </r>
  </si>
  <si>
    <r>
      <rPr>
        <sz val="10"/>
        <color theme="1"/>
        <rFont val="Arial"/>
        <family val="2"/>
      </rPr>
      <t>kg/m</t>
    </r>
    <r>
      <rPr>
        <vertAlign val="superscript"/>
        <sz val="10"/>
        <color theme="1"/>
        <rFont val="Arial"/>
        <family val="2"/>
      </rPr>
      <t>3</t>
    </r>
  </si>
  <si>
    <r>
      <rPr>
        <sz val="10"/>
        <rFont val="Arial"/>
        <family val="2"/>
      </rPr>
      <t>207-08-9</t>
    </r>
  </si>
  <si>
    <r>
      <rPr>
        <sz val="10"/>
        <color theme="1"/>
        <rFont val="Arial"/>
        <family val="2"/>
      </rPr>
      <t>kg/m</t>
    </r>
    <r>
      <rPr>
        <vertAlign val="superscript"/>
        <sz val="10"/>
        <color theme="1"/>
        <rFont val="Arial"/>
        <family val="2"/>
      </rPr>
      <t>3</t>
    </r>
  </si>
  <si>
    <r>
      <rPr>
        <sz val="10"/>
        <rFont val="Arial"/>
        <family val="2"/>
      </rPr>
      <t>53-70-3</t>
    </r>
  </si>
  <si>
    <r>
      <rPr>
        <sz val="10"/>
        <color theme="1"/>
        <rFont val="Arial"/>
        <family val="2"/>
      </rPr>
      <t>kg/m</t>
    </r>
    <r>
      <rPr>
        <vertAlign val="superscript"/>
        <sz val="10"/>
        <color theme="1"/>
        <rFont val="Arial"/>
        <family val="2"/>
      </rPr>
      <t>3</t>
    </r>
  </si>
  <si>
    <r>
      <rPr>
        <sz val="10"/>
        <color theme="1"/>
        <rFont val="Arial"/>
        <family val="2"/>
      </rPr>
      <t>Fluoranthène</t>
    </r>
  </si>
  <si>
    <r>
      <rPr>
        <sz val="10"/>
        <rFont val="Arial"/>
        <family val="2"/>
      </rPr>
      <t>206-44-0</t>
    </r>
  </si>
  <si>
    <r>
      <rPr>
        <sz val="10"/>
        <color theme="1"/>
        <rFont val="Arial"/>
        <family val="2"/>
      </rPr>
      <t>kg/m</t>
    </r>
    <r>
      <rPr>
        <vertAlign val="superscript"/>
        <sz val="10"/>
        <color theme="1"/>
        <rFont val="Arial"/>
        <family val="2"/>
      </rPr>
      <t>3</t>
    </r>
  </si>
  <si>
    <r>
      <rPr>
        <sz val="10"/>
        <color theme="1"/>
        <rFont val="Arial"/>
        <family val="2"/>
      </rPr>
      <t>Fluorène</t>
    </r>
  </si>
  <si>
    <r>
      <rPr>
        <sz val="10"/>
        <rFont val="Arial"/>
        <family val="2"/>
      </rPr>
      <t>86-73-7</t>
    </r>
  </si>
  <si>
    <r>
      <rPr>
        <sz val="10"/>
        <color theme="1"/>
        <rFont val="Arial"/>
        <family val="2"/>
      </rPr>
      <t>kg/m</t>
    </r>
    <r>
      <rPr>
        <vertAlign val="superscript"/>
        <sz val="10"/>
        <color theme="1"/>
        <rFont val="Arial"/>
        <family val="2"/>
      </rPr>
      <t>3</t>
    </r>
  </si>
  <si>
    <r>
      <rPr>
        <sz val="10"/>
        <rFont val="Arial"/>
        <family val="2"/>
      </rPr>
      <t>193-39-5</t>
    </r>
  </si>
  <si>
    <r>
      <rPr>
        <sz val="10"/>
        <color theme="1"/>
        <rFont val="Arial"/>
        <family val="2"/>
      </rPr>
      <t>kg/m</t>
    </r>
    <r>
      <rPr>
        <vertAlign val="superscript"/>
        <sz val="10"/>
        <color theme="1"/>
        <rFont val="Arial"/>
        <family val="2"/>
      </rPr>
      <t>3</t>
    </r>
  </si>
  <si>
    <r>
      <rPr>
        <sz val="10"/>
        <color theme="1"/>
        <rFont val="Arial"/>
        <family val="2"/>
      </rPr>
      <t>Phénanthrène</t>
    </r>
  </si>
  <si>
    <r>
      <rPr>
        <sz val="10"/>
        <rFont val="Arial"/>
        <family val="2"/>
      </rPr>
      <t>85-01-8</t>
    </r>
  </si>
  <si>
    <r>
      <rPr>
        <sz val="10"/>
        <color theme="1"/>
        <rFont val="Arial"/>
        <family val="2"/>
      </rPr>
      <t>kg/m</t>
    </r>
    <r>
      <rPr>
        <vertAlign val="superscript"/>
        <sz val="10"/>
        <color theme="1"/>
        <rFont val="Arial"/>
        <family val="2"/>
      </rPr>
      <t>3</t>
    </r>
  </si>
  <si>
    <r>
      <rPr>
        <sz val="10"/>
        <color theme="1"/>
        <rFont val="Arial"/>
        <family val="2"/>
      </rPr>
      <t>Pyrène</t>
    </r>
  </si>
  <si>
    <r>
      <rPr>
        <sz val="10"/>
        <rFont val="Arial"/>
        <family val="2"/>
      </rPr>
      <t>129-00-0</t>
    </r>
  </si>
  <si>
    <r>
      <rPr>
        <sz val="10"/>
        <color theme="1"/>
        <rFont val="Arial"/>
        <family val="2"/>
      </rPr>
      <t>kg/m</t>
    </r>
    <r>
      <rPr>
        <vertAlign val="superscript"/>
        <sz val="10"/>
        <color theme="1"/>
        <rFont val="Arial"/>
        <family val="2"/>
      </rPr>
      <t>3</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</si>
  <si>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</si>
  <si>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</si>
  <si>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</si>
  <si>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</si>
  <si>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</si>
  <si>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</si>
  <si>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</si>
  <si>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3268-87-9</t>
    </r>
  </si>
  <si>
    <r>
      <rPr>
        <sz val="10"/>
        <color theme="1"/>
        <rFont val="Arial"/>
        <family val="2"/>
      </rPr>
      <t>kg/m</t>
    </r>
    <r>
      <rPr>
        <vertAlign val="superscript"/>
        <sz val="10"/>
        <color theme="1"/>
        <rFont val="Arial"/>
        <family val="2"/>
      </rPr>
      <t>3</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</si>
  <si>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</si>
  <si>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</si>
  <si>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</si>
  <si>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</si>
  <si>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</si>
  <si>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</si>
  <si>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</si>
  <si>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
      </rPr>
      <t>630-08-0</t>
    </r>
  </si>
  <si>
    <r>
      <rPr>
        <sz val="10"/>
        <rFont val="Arial "/>
      </rPr>
      <t>7446-09-5</t>
    </r>
  </si>
  <si>
    <r>
      <rPr>
        <sz val="10"/>
        <rFont val="Arial "/>
      </rPr>
      <t>11104-93-1</t>
    </r>
  </si>
  <si>
    <r>
      <rPr>
        <sz val="10"/>
        <color theme="1"/>
        <rFont val="Arial "/>
      </rPr>
      <t>kg/m</t>
    </r>
    <r>
      <rPr>
        <vertAlign val="superscript"/>
        <sz val="10"/>
        <color theme="1"/>
        <rFont val="Arial "/>
      </rPr>
      <t>3</t>
    </r>
  </si>
  <si>
    <r>
      <rPr>
        <sz val="10"/>
        <rFont val="Arial "/>
      </rPr>
      <t>NA - M16</t>
    </r>
  </si>
  <si>
    <r>
      <rPr>
        <sz val="10"/>
        <color theme="1"/>
        <rFont val="Arial "/>
      </rPr>
      <t>kg/m</t>
    </r>
    <r>
      <rPr>
        <vertAlign val="superscript"/>
        <sz val="10"/>
        <color theme="1"/>
        <rFont val="Arial "/>
      </rPr>
      <t>3</t>
    </r>
  </si>
  <si>
    <r>
      <rPr>
        <sz val="10"/>
        <rFont val="Arial "/>
      </rPr>
      <t>NA - M08</t>
    </r>
  </si>
  <si>
    <r>
      <rPr>
        <sz val="10"/>
        <color theme="1"/>
        <rFont val="Arial "/>
      </rPr>
      <t>kg/m</t>
    </r>
    <r>
      <rPr>
        <vertAlign val="superscript"/>
        <sz val="10"/>
        <color theme="1"/>
        <rFont val="Arial "/>
      </rPr>
      <t>3</t>
    </r>
  </si>
  <si>
    <r>
      <rPr>
        <sz val="10"/>
        <rFont val="Arial "/>
      </rPr>
      <t>NA - M09</t>
    </r>
  </si>
  <si>
    <r>
      <rPr>
        <sz val="10"/>
        <color theme="1"/>
        <rFont val="Arial "/>
      </rPr>
      <t>kg/m</t>
    </r>
    <r>
      <rPr>
        <vertAlign val="superscript"/>
        <sz val="10"/>
        <color theme="1"/>
        <rFont val="Arial "/>
      </rPr>
      <t>3</t>
    </r>
  </si>
  <si>
    <r>
      <rPr>
        <sz val="10"/>
        <rFont val="Arial "/>
      </rPr>
      <t>NA - M10</t>
    </r>
  </si>
  <si>
    <r>
      <rPr>
        <sz val="10"/>
        <color theme="1"/>
        <rFont val="Arial "/>
      </rPr>
      <t>kg/m</t>
    </r>
    <r>
      <rPr>
        <vertAlign val="superscript"/>
        <sz val="10"/>
        <color theme="1"/>
        <rFont val="Arial "/>
      </rPr>
      <t>3</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</si>
  <si>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</si>
  <si>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</si>
  <si>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</si>
  <si>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</si>
  <si>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</si>
  <si>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</si>
  <si>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</si>
  <si>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color theme="1"/>
        <rFont val="Arial"/>
        <family val="2"/>
      </rPr>
      <t>Benzène</t>
    </r>
  </si>
  <si>
    <r>
      <rPr>
        <sz val="10"/>
        <rFont val="Arial"/>
        <family val="2"/>
      </rPr>
      <t>71-43-2</t>
    </r>
  </si>
  <si>
    <r>
      <rPr>
        <sz val="10"/>
        <color theme="1"/>
        <rFont val="Arial"/>
        <family val="2"/>
      </rPr>
      <t>kg/m</t>
    </r>
    <r>
      <rPr>
        <vertAlign val="superscript"/>
        <sz val="10"/>
        <color theme="1"/>
        <rFont val="Arial"/>
        <family val="2"/>
      </rPr>
      <t>3</t>
    </r>
  </si>
  <si>
    <r>
      <rPr>
        <sz val="10"/>
        <color theme="1"/>
        <rFont val="Arial"/>
        <family val="2"/>
      </rPr>
      <t>Formaldéhyde</t>
    </r>
  </si>
  <si>
    <r>
      <rPr>
        <sz val="10"/>
        <rFont val="Arial"/>
        <family val="2"/>
      </rPr>
      <t>50-00-0</t>
    </r>
  </si>
  <si>
    <r>
      <rPr>
        <sz val="10"/>
        <color theme="1"/>
        <rFont val="Arial"/>
        <family val="2"/>
      </rPr>
      <t>kg/m</t>
    </r>
    <r>
      <rPr>
        <vertAlign val="superscript"/>
        <sz val="10"/>
        <color theme="1"/>
        <rFont val="Arial"/>
        <family val="2"/>
      </rPr>
      <t>3</t>
    </r>
  </si>
  <si>
    <r>
      <rPr>
        <sz val="10"/>
        <color theme="1"/>
        <rFont val="Arial"/>
        <family val="2"/>
      </rPr>
      <t>Toluène</t>
    </r>
  </si>
  <si>
    <r>
      <rPr>
        <sz val="10"/>
        <rFont val="Arial"/>
        <family val="2"/>
      </rPr>
      <t>108-88-3</t>
    </r>
  </si>
  <si>
    <r>
      <rPr>
        <sz val="10"/>
        <color theme="1"/>
        <rFont val="Arial"/>
        <family val="2"/>
      </rPr>
      <t>kg/m</t>
    </r>
    <r>
      <rPr>
        <vertAlign val="superscript"/>
        <sz val="10"/>
        <color theme="1"/>
        <rFont val="Arial"/>
        <family val="2"/>
      </rPr>
      <t>3</t>
    </r>
  </si>
  <si>
    <r>
      <rPr>
        <sz val="10"/>
        <rFont val="Arial"/>
        <family val="2"/>
      </rPr>
      <t>1330-20-7</t>
    </r>
  </si>
  <si>
    <r>
      <rPr>
        <sz val="10"/>
        <color theme="1"/>
        <rFont val="Arial"/>
        <family val="2"/>
      </rPr>
      <t>kg/m</t>
    </r>
    <r>
      <rPr>
        <vertAlign val="superscript"/>
        <sz val="10"/>
        <color theme="1"/>
        <rFont val="Arial"/>
        <family val="2"/>
      </rPr>
      <t>3</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</si>
  <si>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</si>
  <si>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</si>
  <si>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</si>
  <si>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</si>
  <si>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</si>
  <si>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</si>
  <si>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</si>
  <si>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</si>
  <si>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</si>
  <si>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</si>
  <si>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</si>
  <si>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</si>
  <si>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 xml:space="preserve">Pour obtenir la description des cotes des FE, consultez le site web de l’INRP sous la rubrique Boîte à outils de l’INRP. </t>
    </r>
  </si>
  <si>
    <r>
      <rPr>
        <sz val="11"/>
        <color theme="1"/>
        <rFont val="Arial"/>
        <family val="2"/>
      </rPr>
      <t>Numéro CAS</t>
    </r>
  </si>
  <si>
    <r>
      <rPr>
        <b/>
        <sz val="11"/>
        <color theme="1"/>
        <rFont val="Arial"/>
        <family val="2"/>
      </rPr>
      <t>kg/année</t>
    </r>
  </si>
  <si>
    <r>
      <rPr>
        <sz val="11"/>
        <rFont val="Arial"/>
        <family val="2"/>
      </rPr>
      <t>7446-09-5</t>
    </r>
  </si>
  <si>
    <r>
      <rPr>
        <sz val="11"/>
        <rFont val="Arial"/>
        <family val="2"/>
      </rPr>
      <t>11104-93-1</t>
    </r>
  </si>
  <si>
    <r>
      <rPr>
        <sz val="11"/>
        <color theme="1"/>
        <rFont val="Arial"/>
        <family val="2"/>
      </rPr>
      <t>A</t>
    </r>
  </si>
  <si>
    <r>
      <rPr>
        <sz val="11"/>
        <color theme="1"/>
        <rFont val="Arial"/>
        <family val="2"/>
      </rPr>
      <t>Monoxyde de carbone (CO)</t>
    </r>
  </si>
  <si>
    <r>
      <rPr>
        <sz val="11"/>
        <rFont val="Arial"/>
        <family val="2"/>
      </rPr>
      <t>630-08-0</t>
    </r>
  </si>
  <si>
    <r>
      <rPr>
        <sz val="11"/>
        <color theme="1"/>
        <rFont val="Arial"/>
        <family val="2"/>
      </rPr>
      <t>A</t>
    </r>
  </si>
  <si>
    <r>
      <rPr>
        <sz val="11"/>
        <rFont val="Arial"/>
        <family val="2"/>
      </rPr>
      <t>NA - M08</t>
    </r>
  </si>
  <si>
    <r>
      <rPr>
        <sz val="11"/>
        <rFont val="Arial"/>
        <family val="2"/>
      </rPr>
      <t>NA - M09</t>
    </r>
  </si>
  <si>
    <r>
      <rPr>
        <sz val="11"/>
        <rFont val="Arial"/>
        <family val="2"/>
      </rPr>
      <t>NA - M10</t>
    </r>
  </si>
  <si>
    <r>
      <rPr>
        <sz val="11"/>
        <rFont val="Arial"/>
        <family val="2"/>
      </rPr>
      <t>NA - M16</t>
    </r>
  </si>
  <si>
    <r>
      <rPr>
        <sz val="11"/>
        <color theme="1"/>
        <rFont val="Arial"/>
        <family val="2"/>
      </rPr>
      <t>Anthracène</t>
    </r>
  </si>
  <si>
    <r>
      <rPr>
        <sz val="11"/>
        <rFont val="Arial"/>
        <family val="2"/>
      </rPr>
      <t>120-12-7</t>
    </r>
  </si>
  <si>
    <r>
      <rPr>
        <sz val="11"/>
        <color theme="1"/>
        <rFont val="Arial"/>
        <family val="2"/>
      </rPr>
      <t>C</t>
    </r>
  </si>
  <si>
    <r>
      <rPr>
        <sz val="11"/>
        <color theme="1"/>
        <rFont val="Arial"/>
        <family val="2"/>
      </rPr>
      <t>Antimoine (et ses composés)</t>
    </r>
  </si>
  <si>
    <r>
      <rPr>
        <sz val="11"/>
        <rFont val="Arial"/>
        <family val="2"/>
      </rPr>
      <t>NA - 01</t>
    </r>
  </si>
  <si>
    <r>
      <rPr>
        <sz val="11"/>
        <color theme="1"/>
        <rFont val="Arial"/>
        <family val="2"/>
      </rPr>
      <t>Arsenic (et ses composés)</t>
    </r>
  </si>
  <si>
    <r>
      <rPr>
        <sz val="11"/>
        <rFont val="Arial"/>
        <family val="2"/>
      </rPr>
      <t>NA - 02</t>
    </r>
  </si>
  <si>
    <r>
      <rPr>
        <sz val="11"/>
        <color theme="1"/>
        <rFont val="Arial"/>
        <family val="2"/>
      </rPr>
      <t>C</t>
    </r>
  </si>
  <si>
    <r>
      <rPr>
        <sz val="11"/>
        <color theme="1"/>
        <rFont val="Arial"/>
        <family val="2"/>
      </rPr>
      <t>Benzène</t>
    </r>
  </si>
  <si>
    <r>
      <rPr>
        <sz val="11"/>
        <rFont val="Arial"/>
        <family val="2"/>
      </rPr>
      <t>71-43-2</t>
    </r>
  </si>
  <si>
    <r>
      <rPr>
        <sz val="11"/>
        <color theme="1"/>
        <rFont val="Arial"/>
        <family val="2"/>
      </rPr>
      <t>C</t>
    </r>
  </si>
  <si>
    <r>
      <rPr>
        <sz val="11"/>
        <color theme="1"/>
        <rFont val="Arial"/>
        <family val="2"/>
      </rPr>
      <t>Benz[a]anthracène</t>
    </r>
  </si>
  <si>
    <r>
      <rPr>
        <sz val="11"/>
        <rFont val="Arial"/>
        <family val="2"/>
      </rPr>
      <t>56-55-3</t>
    </r>
  </si>
  <si>
    <r>
      <rPr>
        <sz val="11"/>
        <color theme="1"/>
        <rFont val="Arial"/>
        <family val="2"/>
      </rPr>
      <t>C</t>
    </r>
  </si>
  <si>
    <r>
      <rPr>
        <sz val="11"/>
        <color theme="1"/>
        <rFont val="Arial"/>
        <family val="2"/>
      </rPr>
      <t>Chrysène</t>
    </r>
  </si>
  <si>
    <r>
      <rPr>
        <sz val="11"/>
        <rFont val="Arial"/>
        <family val="2"/>
      </rPr>
      <t>218-01-9</t>
    </r>
  </si>
  <si>
    <r>
      <rPr>
        <sz val="11"/>
        <color theme="1"/>
        <rFont val="Arial"/>
        <family val="2"/>
      </rPr>
      <t>C</t>
    </r>
  </si>
  <si>
    <r>
      <rPr>
        <sz val="11"/>
        <color theme="1"/>
        <rFont val="Arial"/>
        <family val="2"/>
      </rPr>
      <t>Benzo[b]fluoranthène</t>
    </r>
  </si>
  <si>
    <r>
      <rPr>
        <sz val="11"/>
        <rFont val="Arial"/>
        <family val="2"/>
      </rPr>
      <t>205-99-2</t>
    </r>
  </si>
  <si>
    <r>
      <rPr>
        <sz val="11"/>
        <color theme="1"/>
        <rFont val="Arial"/>
        <family val="2"/>
      </rPr>
      <t>C</t>
    </r>
  </si>
  <si>
    <r>
      <rPr>
        <sz val="11"/>
        <color theme="1"/>
        <rFont val="Arial"/>
        <family val="2"/>
      </rPr>
      <t>Benzo[ghi]pérylène</t>
    </r>
  </si>
  <si>
    <r>
      <rPr>
        <sz val="11"/>
        <rFont val="Arial"/>
        <family val="2"/>
      </rPr>
      <t>191-24-2</t>
    </r>
  </si>
  <si>
    <r>
      <rPr>
        <sz val="11"/>
        <color theme="1"/>
        <rFont val="Arial"/>
        <family val="2"/>
      </rPr>
      <t>C</t>
    </r>
  </si>
  <si>
    <r>
      <rPr>
        <sz val="11"/>
        <color theme="1"/>
        <rFont val="Arial"/>
        <family val="2"/>
      </rPr>
      <t>Benzo[k]fluoranthène</t>
    </r>
  </si>
  <si>
    <r>
      <rPr>
        <sz val="11"/>
        <rFont val="Arial"/>
        <family val="2"/>
      </rPr>
      <t>207-08-9</t>
    </r>
  </si>
  <si>
    <r>
      <rPr>
        <sz val="11"/>
        <color theme="1"/>
        <rFont val="Arial"/>
        <family val="2"/>
      </rPr>
      <t>C</t>
    </r>
  </si>
  <si>
    <r>
      <rPr>
        <sz val="11"/>
        <color theme="1"/>
        <rFont val="Arial"/>
        <family val="2"/>
      </rPr>
      <t>Cadmium (et ses composés)</t>
    </r>
  </si>
  <si>
    <r>
      <rPr>
        <sz val="11"/>
        <rFont val="Arial"/>
        <family val="2"/>
      </rPr>
      <t>NA - 03</t>
    </r>
  </si>
  <si>
    <r>
      <rPr>
        <sz val="11"/>
        <color theme="1"/>
        <rFont val="Arial"/>
        <family val="2"/>
      </rPr>
      <t>C</t>
    </r>
  </si>
  <si>
    <r>
      <rPr>
        <sz val="11"/>
        <rFont val="Arial"/>
        <family val="2"/>
      </rPr>
      <t>NA - 04</t>
    </r>
  </si>
  <si>
    <r>
      <rPr>
        <sz val="11"/>
        <color theme="1"/>
        <rFont val="Arial"/>
        <family val="2"/>
      </rPr>
      <t>C</t>
    </r>
  </si>
  <si>
    <r>
      <rPr>
        <sz val="11"/>
        <color theme="1"/>
        <rFont val="Arial"/>
        <family val="2"/>
      </rPr>
      <t>Cobalt (et ses composés)</t>
    </r>
  </si>
  <si>
    <r>
      <rPr>
        <sz val="11"/>
        <rFont val="Arial"/>
        <family val="2"/>
      </rPr>
      <t>NA - 05</t>
    </r>
  </si>
  <si>
    <r>
      <rPr>
        <sz val="11"/>
        <color theme="1"/>
        <rFont val="Arial"/>
        <family val="2"/>
      </rPr>
      <t>D</t>
    </r>
  </si>
  <si>
    <r>
      <rPr>
        <sz val="11"/>
        <color theme="1"/>
        <rFont val="Arial"/>
        <family val="2"/>
      </rPr>
      <t>Cuivre (et ses composés)</t>
    </r>
  </si>
  <si>
    <r>
      <rPr>
        <sz val="11"/>
        <rFont val="Arial"/>
        <family val="2"/>
      </rPr>
      <t>NA - 06</t>
    </r>
  </si>
  <si>
    <r>
      <rPr>
        <sz val="11"/>
        <color theme="1"/>
        <rFont val="Arial"/>
        <family val="2"/>
      </rPr>
      <t>C</t>
    </r>
  </si>
  <si>
    <r>
      <rPr>
        <sz val="11"/>
        <color theme="1"/>
        <rFont val="Arial"/>
        <family val="2"/>
      </rPr>
      <t>Dibenz[a,h]anthracène</t>
    </r>
  </si>
  <si>
    <r>
      <rPr>
        <sz val="11"/>
        <rFont val="Arial"/>
        <family val="2"/>
      </rPr>
      <t>53-70-3</t>
    </r>
  </si>
  <si>
    <r>
      <rPr>
        <sz val="11"/>
        <color theme="1"/>
        <rFont val="Arial"/>
        <family val="2"/>
      </rPr>
      <t>D</t>
    </r>
  </si>
  <si>
    <r>
      <rPr>
        <sz val="11"/>
        <color theme="1"/>
        <rFont val="Arial"/>
        <family val="2"/>
      </rPr>
      <t>Éthylbenzène</t>
    </r>
  </si>
  <si>
    <r>
      <rPr>
        <sz val="11"/>
        <rFont val="Arial"/>
        <family val="2"/>
      </rPr>
      <t>100-41-4</t>
    </r>
  </si>
  <si>
    <r>
      <rPr>
        <sz val="11"/>
        <color theme="1"/>
        <rFont val="Arial"/>
        <family val="2"/>
      </rPr>
      <t>E</t>
    </r>
  </si>
  <si>
    <r>
      <rPr>
        <sz val="11"/>
        <color theme="1"/>
        <rFont val="Arial"/>
        <family val="2"/>
      </rPr>
      <t>Fluoranthène</t>
    </r>
  </si>
  <si>
    <r>
      <rPr>
        <sz val="11"/>
        <rFont val="Arial"/>
        <family val="2"/>
      </rPr>
      <t>206-44-0</t>
    </r>
  </si>
  <si>
    <r>
      <rPr>
        <sz val="11"/>
        <color theme="1"/>
        <rFont val="Arial"/>
        <family val="2"/>
      </rPr>
      <t>C</t>
    </r>
  </si>
  <si>
    <r>
      <rPr>
        <sz val="11"/>
        <color theme="1"/>
        <rFont val="Arial"/>
        <family val="2"/>
      </rPr>
      <t>Formaldéhyde</t>
    </r>
  </si>
  <si>
    <r>
      <rPr>
        <sz val="11"/>
        <rFont val="Arial"/>
        <family val="2"/>
      </rPr>
      <t>50-00-0</t>
    </r>
  </si>
  <si>
    <r>
      <rPr>
        <sz val="11"/>
        <color theme="1"/>
        <rFont val="Arial"/>
        <family val="2"/>
      </rPr>
      <t>E</t>
    </r>
  </si>
  <si>
    <r>
      <rPr>
        <sz val="11"/>
        <rFont val="Arial"/>
        <family val="2"/>
      </rPr>
      <t>NA - 19</t>
    </r>
  </si>
  <si>
    <r>
      <rPr>
        <sz val="11"/>
        <color theme="1"/>
        <rFont val="Arial"/>
        <family val="2"/>
      </rPr>
      <t>C</t>
    </r>
  </si>
  <si>
    <r>
      <rPr>
        <sz val="11"/>
        <rFont val="Arial"/>
        <family val="2"/>
      </rPr>
      <t>193-39-5</t>
    </r>
  </si>
  <si>
    <r>
      <rPr>
        <sz val="11"/>
        <color theme="1"/>
        <rFont val="Arial"/>
        <family val="2"/>
      </rPr>
      <t>C</t>
    </r>
  </si>
  <si>
    <r>
      <rPr>
        <sz val="11"/>
        <color theme="1"/>
        <rFont val="Arial"/>
        <family val="2"/>
      </rPr>
      <t>Plomb (et ses composés, sauf le plomb tétraéthyle)</t>
    </r>
  </si>
  <si>
    <r>
      <rPr>
        <sz val="11"/>
        <rFont val="Arial"/>
        <family val="2"/>
      </rPr>
      <t>NA - 08</t>
    </r>
  </si>
  <si>
    <r>
      <rPr>
        <sz val="11"/>
        <color theme="1"/>
        <rFont val="Arial"/>
        <family val="2"/>
      </rPr>
      <t>C</t>
    </r>
  </si>
  <si>
    <r>
      <rPr>
        <sz val="11"/>
        <color theme="1"/>
        <rFont val="Arial"/>
        <family val="2"/>
      </rPr>
      <t>Manganèse (et ses composés)</t>
    </r>
  </si>
  <si>
    <r>
      <rPr>
        <sz val="11"/>
        <rFont val="Arial"/>
        <family val="2"/>
      </rPr>
      <t>NA - 09</t>
    </r>
  </si>
  <si>
    <r>
      <rPr>
        <sz val="11"/>
        <color theme="1"/>
        <rFont val="Arial"/>
        <family val="2"/>
      </rPr>
      <t>C</t>
    </r>
  </si>
  <si>
    <r>
      <rPr>
        <sz val="11"/>
        <color theme="1"/>
        <rFont val="Arial"/>
        <family val="2"/>
      </rPr>
      <t>Mercure (et ses composés)</t>
    </r>
  </si>
  <si>
    <r>
      <rPr>
        <sz val="11"/>
        <rFont val="Arial"/>
        <family val="2"/>
      </rPr>
      <t>NA - 10</t>
    </r>
  </si>
  <si>
    <r>
      <rPr>
        <sz val="11"/>
        <color theme="1"/>
        <rFont val="Arial"/>
        <family val="2"/>
      </rPr>
      <t>C</t>
    </r>
  </si>
  <si>
    <r>
      <rPr>
        <sz val="11"/>
        <color theme="1"/>
        <rFont val="Arial"/>
        <family val="2"/>
      </rPr>
      <t>Naphtalène</t>
    </r>
  </si>
  <si>
    <r>
      <rPr>
        <sz val="11"/>
        <rFont val="Arial"/>
        <family val="2"/>
      </rPr>
      <t>91-20-3</t>
    </r>
  </si>
  <si>
    <r>
      <rPr>
        <sz val="11"/>
        <color theme="1"/>
        <rFont val="Arial"/>
        <family val="2"/>
      </rPr>
      <t>C</t>
    </r>
  </si>
  <si>
    <r>
      <rPr>
        <sz val="11"/>
        <color theme="1"/>
        <rFont val="Arial"/>
        <family val="2"/>
      </rPr>
      <t>Nickel (et ses composés)</t>
    </r>
  </si>
  <si>
    <r>
      <rPr>
        <sz val="11"/>
        <rFont val="Arial"/>
        <family val="2"/>
      </rPr>
      <t>NA - 11</t>
    </r>
  </si>
  <si>
    <r>
      <rPr>
        <sz val="11"/>
        <color theme="1"/>
        <rFont val="Arial"/>
        <family val="2"/>
      </rPr>
      <t>C</t>
    </r>
  </si>
  <si>
    <r>
      <rPr>
        <sz val="11"/>
        <rFont val="Arial"/>
        <family val="2"/>
      </rPr>
      <t>3268-87-9</t>
    </r>
  </si>
  <si>
    <r>
      <rPr>
        <sz val="11"/>
        <color theme="1"/>
        <rFont val="Arial"/>
        <family val="2"/>
      </rPr>
      <t>E</t>
    </r>
  </si>
  <si>
    <r>
      <rPr>
        <sz val="11"/>
        <color theme="1"/>
        <rFont val="Arial"/>
        <family val="2"/>
      </rPr>
      <t>Phénanthrène</t>
    </r>
  </si>
  <si>
    <r>
      <rPr>
        <sz val="11"/>
        <rFont val="Arial"/>
        <family val="2"/>
      </rPr>
      <t>85-01-8</t>
    </r>
  </si>
  <si>
    <r>
      <rPr>
        <sz val="11"/>
        <color theme="1"/>
        <rFont val="Arial"/>
        <family val="2"/>
      </rPr>
      <t>C</t>
    </r>
  </si>
  <si>
    <r>
      <rPr>
        <sz val="11"/>
        <color theme="1"/>
        <rFont val="Arial"/>
        <family val="2"/>
      </rPr>
      <t>Phosphore</t>
    </r>
  </si>
  <si>
    <r>
      <rPr>
        <sz val="11"/>
        <rFont val="Arial"/>
        <family val="2"/>
      </rPr>
      <t>NA - 22</t>
    </r>
  </si>
  <si>
    <r>
      <rPr>
        <sz val="11"/>
        <color theme="1"/>
        <rFont val="Arial"/>
        <family val="2"/>
      </rPr>
      <t>D</t>
    </r>
  </si>
  <si>
    <r>
      <rPr>
        <sz val="11"/>
        <color theme="1"/>
        <rFont val="Arial"/>
        <family val="2"/>
      </rPr>
      <t>Pyrène</t>
    </r>
  </si>
  <si>
    <r>
      <rPr>
        <sz val="11"/>
        <rFont val="Arial"/>
        <family val="2"/>
      </rPr>
      <t>129-00-0</t>
    </r>
  </si>
  <si>
    <r>
      <rPr>
        <sz val="11"/>
        <color theme="1"/>
        <rFont val="Arial"/>
        <family val="2"/>
      </rPr>
      <t>C</t>
    </r>
  </si>
  <si>
    <r>
      <rPr>
        <sz val="11"/>
        <color theme="1"/>
        <rFont val="Arial"/>
        <family val="2"/>
      </rPr>
      <t>Sélénium (et ses composés)</t>
    </r>
  </si>
  <si>
    <r>
      <rPr>
        <sz val="11"/>
        <rFont val="Arial"/>
        <family val="2"/>
      </rPr>
      <t>NA - 12</t>
    </r>
  </si>
  <si>
    <r>
      <rPr>
        <sz val="11"/>
        <color theme="1"/>
        <rFont val="Arial"/>
        <family val="2"/>
      </rPr>
      <t>C</t>
    </r>
  </si>
  <si>
    <r>
      <rPr>
        <sz val="11"/>
        <color theme="1"/>
        <rFont val="Arial"/>
        <family val="2"/>
      </rPr>
      <t>Toluène</t>
    </r>
  </si>
  <si>
    <r>
      <rPr>
        <sz val="11"/>
        <rFont val="Arial"/>
        <family val="2"/>
      </rPr>
      <t>108-88-3</t>
    </r>
  </si>
  <si>
    <r>
      <rPr>
        <sz val="11"/>
        <color theme="1"/>
        <rFont val="Arial"/>
        <family val="2"/>
      </rPr>
      <t>D</t>
    </r>
  </si>
  <si>
    <r>
      <rPr>
        <sz val="11"/>
        <rFont val="Arial"/>
        <family val="2"/>
      </rPr>
      <t>Xylène (tous les isomères)</t>
    </r>
  </si>
  <si>
    <r>
      <rPr>
        <sz val="11"/>
        <rFont val="Arial"/>
        <family val="2"/>
      </rPr>
      <t>1330-20-7</t>
    </r>
  </si>
  <si>
    <r>
      <rPr>
        <sz val="11"/>
        <color theme="1"/>
        <rFont val="Arial"/>
        <family val="2"/>
      </rPr>
      <t>E</t>
    </r>
  </si>
  <si>
    <r>
      <rPr>
        <sz val="11"/>
        <color theme="1"/>
        <rFont val="Arial"/>
        <family val="2"/>
      </rPr>
      <t>Vanadium (et ses composés)</t>
    </r>
  </si>
  <si>
    <r>
      <rPr>
        <sz val="11"/>
        <rFont val="Arial"/>
        <family val="2"/>
      </rPr>
      <t>NA - 40</t>
    </r>
  </si>
  <si>
    <r>
      <rPr>
        <sz val="11"/>
        <color theme="1"/>
        <rFont val="Arial"/>
        <family val="2"/>
      </rPr>
      <t>D</t>
    </r>
  </si>
  <si>
    <r>
      <rPr>
        <sz val="11"/>
        <color theme="1"/>
        <rFont val="Arial"/>
        <family val="2"/>
      </rPr>
      <t>Zinc (et ses composés)</t>
    </r>
  </si>
  <si>
    <r>
      <rPr>
        <sz val="11"/>
        <rFont val="Arial"/>
        <family val="2"/>
      </rPr>
      <t>NA - 14</t>
    </r>
  </si>
  <si>
    <r>
      <rPr>
        <sz val="11"/>
        <color theme="1"/>
        <rFont val="Arial"/>
        <family val="2"/>
      </rPr>
      <t>D</t>
    </r>
  </si>
  <si>
    <r>
      <rPr>
        <sz val="11"/>
        <color theme="1"/>
        <rFont val="Arial"/>
        <family val="2"/>
      </rPr>
      <t>Acénaphthène</t>
    </r>
  </si>
  <si>
    <r>
      <rPr>
        <sz val="11"/>
        <rFont val="Arial"/>
        <family val="2"/>
      </rPr>
      <t>83-32-9</t>
    </r>
  </si>
  <si>
    <r>
      <rPr>
        <sz val="11"/>
        <color theme="1"/>
        <rFont val="Arial"/>
        <family val="2"/>
      </rPr>
      <t>C</t>
    </r>
  </si>
  <si>
    <r>
      <rPr>
        <sz val="11"/>
        <color theme="1"/>
        <rFont val="Arial"/>
        <family val="2"/>
      </rPr>
      <t>Acénaphthylène</t>
    </r>
  </si>
  <si>
    <r>
      <rPr>
        <sz val="11"/>
        <rFont val="Arial"/>
        <family val="2"/>
      </rPr>
      <t>208-96-8</t>
    </r>
  </si>
  <si>
    <r>
      <rPr>
        <sz val="11"/>
        <color theme="1"/>
        <rFont val="Arial"/>
        <family val="2"/>
      </rPr>
      <t>D</t>
    </r>
  </si>
  <si>
    <r>
      <rPr>
        <sz val="11"/>
        <color theme="1"/>
        <rFont val="Arial"/>
        <family val="2"/>
      </rPr>
      <t>Fluorène</t>
    </r>
  </si>
  <si>
    <r>
      <rPr>
        <sz val="11"/>
        <rFont val="Arial"/>
        <family val="2"/>
      </rPr>
      <t>86-73-7</t>
    </r>
  </si>
  <si>
    <r>
      <rPr>
        <sz val="11"/>
        <color theme="1"/>
        <rFont val="Arial"/>
        <family val="2"/>
      </rPr>
      <t>C</t>
    </r>
  </si>
  <si>
    <r>
      <rPr>
        <sz val="11"/>
        <color theme="1"/>
        <rFont val="Arial"/>
        <family val="2"/>
      </rPr>
      <t>CO</t>
    </r>
  </si>
  <si>
    <r>
      <rPr>
        <sz val="11"/>
        <color theme="1"/>
        <rFont val="Arial"/>
        <family val="2"/>
      </rPr>
      <t>A</t>
    </r>
  </si>
  <si>
    <r>
      <rPr>
        <sz val="11"/>
        <color theme="1"/>
        <rFont val="Arial"/>
        <family val="2"/>
      </rPr>
      <t>B</t>
    </r>
  </si>
  <si>
    <r>
      <rPr>
        <sz val="11"/>
        <color theme="1"/>
        <rFont val="Arial"/>
        <family val="2"/>
      </rPr>
      <t>Cote du facteur d’émission</t>
    </r>
  </si>
  <si>
    <r>
      <rPr>
        <sz val="11"/>
        <color theme="1"/>
        <rFont val="Arial"/>
        <family val="2"/>
      </rPr>
      <t xml:space="preserve"> Qualité du carburant</t>
    </r>
  </si>
  <si>
    <r>
      <rPr>
        <sz val="11"/>
        <color theme="1"/>
        <rFont val="Arial"/>
        <family val="2"/>
      </rPr>
      <t>I</t>
    </r>
  </si>
  <si>
    <r>
      <rPr>
        <sz val="11"/>
        <color theme="1"/>
        <rFont val="Arial"/>
        <family val="2"/>
      </rPr>
      <t>D</t>
    </r>
  </si>
  <si>
    <r>
      <rPr>
        <sz val="11"/>
        <color theme="1"/>
        <rFont val="Arial"/>
        <family val="2"/>
      </rPr>
      <t>C</t>
    </r>
  </si>
  <si>
    <r>
      <rPr>
        <sz val="11"/>
        <color theme="1"/>
        <rFont val="Arial"/>
        <family val="2"/>
      </rPr>
      <t>D</t>
    </r>
  </si>
  <si>
    <r>
      <rPr>
        <sz val="11"/>
        <color theme="1"/>
        <rFont val="Arial"/>
        <family val="2"/>
      </rPr>
      <t>U</t>
    </r>
  </si>
  <si>
    <r>
      <rPr>
        <sz val="11"/>
        <color theme="1"/>
        <rFont val="Arial"/>
        <family val="2"/>
      </rPr>
      <t>C</t>
    </r>
  </si>
  <si>
    <r>
      <rPr>
        <sz val="11"/>
        <color theme="1"/>
        <rFont val="Arial"/>
        <family val="2"/>
      </rPr>
      <t>Cote du facteur d’émission</t>
    </r>
  </si>
  <si>
    <r>
      <rPr>
        <sz val="11"/>
        <color theme="1"/>
        <rFont val="Arial"/>
        <family val="2"/>
      </rPr>
      <t>Type de chaudière ou d’appareil de chauffage</t>
    </r>
  </si>
  <si>
    <r>
      <rPr>
        <sz val="11"/>
        <color theme="1"/>
        <rFont val="Arial"/>
        <family val="2"/>
      </rPr>
      <t xml:space="preserve"> Qualité du carburant</t>
    </r>
  </si>
  <si>
    <r>
      <rPr>
        <sz val="11"/>
        <color theme="1"/>
        <rFont val="Arial"/>
        <family val="2"/>
      </rPr>
      <t>I</t>
    </r>
  </si>
  <si>
    <r>
      <rPr>
        <sz val="11"/>
        <color theme="1"/>
        <rFont val="Arial"/>
        <family val="2"/>
      </rPr>
      <t>D</t>
    </r>
  </si>
  <si>
    <r>
      <rPr>
        <sz val="11"/>
        <color theme="1"/>
        <rFont val="Arial"/>
        <family val="2"/>
      </rPr>
      <t>Référence : AP-42, tableau 1.3-5</t>
    </r>
  </si>
  <si>
    <r>
      <rPr>
        <sz val="11"/>
        <color theme="1"/>
        <rFont val="Arial"/>
        <family val="2"/>
      </rPr>
      <t>C</t>
    </r>
  </si>
  <si>
    <r>
      <rPr>
        <sz val="11"/>
        <color theme="1"/>
        <rFont val="Arial"/>
        <family val="2"/>
      </rPr>
      <t>D</t>
    </r>
  </si>
  <si>
    <r>
      <rPr>
        <sz val="11"/>
        <color theme="1"/>
        <rFont val="Arial"/>
        <family val="2"/>
      </rPr>
      <t>Référence : AP-42, tableau 1.3-7</t>
    </r>
  </si>
  <si>
    <r>
      <rPr>
        <sz val="11"/>
        <color theme="1"/>
        <rFont val="Arial"/>
        <family val="2"/>
      </rPr>
      <t>U</t>
    </r>
  </si>
  <si>
    <r>
      <rPr>
        <sz val="11"/>
        <color theme="1"/>
        <rFont val="Arial"/>
        <family val="2"/>
      </rPr>
      <t>C</t>
    </r>
  </si>
  <si>
    <r>
      <rPr>
        <sz val="11"/>
        <color theme="1"/>
        <rFont val="Arial"/>
        <family val="2"/>
      </rPr>
      <t>Référence : AP-42, tableau 1.3-4</t>
    </r>
  </si>
  <si>
    <r>
      <rPr>
        <sz val="11"/>
        <color theme="1"/>
        <rFont val="Arial"/>
        <family val="2"/>
      </rPr>
      <t>Cote du facteur d’émission</t>
    </r>
  </si>
  <si>
    <r>
      <rPr>
        <sz val="11"/>
        <color theme="1"/>
        <rFont val="Arial"/>
        <family val="2"/>
      </rPr>
      <t>Type de chaudière ou d’appareil de chauffage</t>
    </r>
  </si>
  <si>
    <r>
      <rPr>
        <sz val="11"/>
        <color theme="1"/>
        <rFont val="Arial"/>
        <family val="2"/>
      </rPr>
      <t xml:space="preserve"> Qualité du carburant</t>
    </r>
  </si>
  <si>
    <r>
      <rPr>
        <sz val="11"/>
        <color theme="1"/>
        <rFont val="Arial"/>
        <family val="2"/>
      </rPr>
      <t>I</t>
    </r>
  </si>
  <si>
    <r>
      <rPr>
        <sz val="11"/>
        <color theme="1"/>
        <rFont val="Arial"/>
        <family val="2"/>
      </rPr>
      <t>A</t>
    </r>
  </si>
  <si>
    <r>
      <rPr>
        <sz val="11"/>
        <color theme="1"/>
        <rFont val="Arial"/>
        <family val="2"/>
      </rPr>
      <t>C</t>
    </r>
  </si>
  <si>
    <r>
      <rPr>
        <sz val="11"/>
        <color theme="1"/>
        <rFont val="Arial"/>
        <family val="2"/>
      </rPr>
      <t>A</t>
    </r>
  </si>
  <si>
    <r>
      <rPr>
        <sz val="11"/>
        <color theme="1"/>
        <rFont val="Arial"/>
        <family val="2"/>
      </rPr>
      <t>U</t>
    </r>
  </si>
  <si>
    <r>
      <rPr>
        <sz val="11"/>
        <color theme="1"/>
        <rFont val="Arial"/>
        <family val="2"/>
      </rPr>
      <t>A</t>
    </r>
  </si>
  <si>
    <r>
      <rPr>
        <sz val="11"/>
        <color theme="1"/>
        <rFont val="Arial"/>
        <family val="2"/>
      </rPr>
      <t xml:space="preserve">Contaminant </t>
    </r>
  </si>
  <si>
    <r>
      <rPr>
        <sz val="11"/>
        <color theme="1"/>
        <rFont val="Arial"/>
        <family val="2"/>
      </rPr>
      <t>Numéro CAS</t>
    </r>
  </si>
  <si>
    <r>
      <rPr>
        <sz val="11"/>
        <color theme="1"/>
        <rFont val="Arial"/>
        <family val="2"/>
      </rPr>
      <t>Facteur d’émission non contrôlé</t>
    </r>
  </si>
  <si>
    <r>
      <rPr>
        <sz val="11"/>
        <color theme="1"/>
        <rFont val="Arial"/>
        <family val="2"/>
      </rPr>
      <t>Cote du facteur d’émission</t>
    </r>
  </si>
  <si>
    <r>
      <rPr>
        <b/>
        <sz val="11"/>
        <color theme="1"/>
        <rFont val="Arial"/>
        <family val="2"/>
      </rPr>
      <t>Émissions annuelles non contrôlées</t>
    </r>
  </si>
  <si>
    <r>
      <rPr>
        <b/>
        <sz val="11"/>
        <color theme="1"/>
        <rFont val="Arial"/>
        <family val="2"/>
      </rPr>
      <t>Émissions annuelles contrôlées</t>
    </r>
  </si>
  <si>
    <r>
      <rPr>
        <sz val="11"/>
        <color theme="1"/>
        <rFont val="Arial"/>
        <family val="2"/>
      </rPr>
      <t>PARTIE DE L’INRP</t>
    </r>
  </si>
  <si>
    <r>
      <rPr>
        <sz val="11"/>
        <color theme="1"/>
        <rFont val="Arial"/>
        <family val="2"/>
      </rPr>
      <t>PARTIE 5</t>
    </r>
  </si>
  <si>
    <r>
      <rPr>
        <sz val="11"/>
        <color theme="1"/>
        <rFont val="Arial"/>
        <family val="2"/>
      </rPr>
      <t>lb/10</t>
    </r>
    <r>
      <rPr>
        <vertAlign val="superscript"/>
        <sz val="11"/>
        <color theme="1"/>
        <rFont val="Arial"/>
        <family val="2"/>
      </rPr>
      <t>3</t>
    </r>
    <r>
      <rPr>
        <sz val="11"/>
        <color theme="1"/>
        <rFont val="Arial"/>
        <family val="2"/>
      </rPr>
      <t> gal US</t>
    </r>
  </si>
  <si>
    <r>
      <rPr>
        <sz val="11"/>
        <color theme="1"/>
        <rFont val="Arial"/>
        <family val="2"/>
      </rPr>
      <t>kg/m</t>
    </r>
    <r>
      <rPr>
        <vertAlign val="superscript"/>
        <sz val="11"/>
        <color theme="1"/>
        <rFont val="Arial"/>
        <family val="2"/>
      </rPr>
      <t>3</t>
    </r>
  </si>
  <si>
    <r>
      <rPr>
        <b/>
        <sz val="11"/>
        <color theme="1"/>
        <rFont val="Arial"/>
        <family val="2"/>
      </rPr>
      <t>kg/année</t>
    </r>
  </si>
  <si>
    <r>
      <rPr>
        <b/>
        <sz val="11"/>
        <color theme="1"/>
        <rFont val="Arial"/>
        <family val="2"/>
      </rPr>
      <t>kg/année</t>
    </r>
  </si>
  <si>
    <r>
      <rPr>
        <sz val="11"/>
        <color theme="1"/>
        <rFont val="Arial"/>
        <family val="2"/>
      </rPr>
      <t>Dioxyde de soufre (SO</t>
    </r>
    <r>
      <rPr>
        <vertAlign val="subscript"/>
        <sz val="11"/>
        <color theme="1"/>
        <rFont val="Arial"/>
        <family val="2"/>
      </rPr>
      <t>2</t>
    </r>
    <r>
      <rPr>
        <sz val="11"/>
        <color theme="1"/>
        <rFont val="Arial"/>
        <family val="2"/>
      </rPr>
      <t>)</t>
    </r>
  </si>
  <si>
    <r>
      <rPr>
        <sz val="11"/>
        <rFont val="Arial"/>
        <family val="2"/>
      </rPr>
      <t>7446-09-5</t>
    </r>
  </si>
  <si>
    <r>
      <rPr>
        <sz val="11"/>
        <rFont val="Arial"/>
        <family val="2"/>
      </rPr>
      <t>11104-93-1</t>
    </r>
  </si>
  <si>
    <r>
      <rPr>
        <sz val="11"/>
        <color theme="1"/>
        <rFont val="Arial"/>
        <family val="2"/>
      </rPr>
      <t>Monoxyde de carbone (CO)</t>
    </r>
  </si>
  <si>
    <r>
      <rPr>
        <sz val="11"/>
        <rFont val="Arial"/>
        <family val="2"/>
      </rPr>
      <t>630-08-0</t>
    </r>
  </si>
  <si>
    <r>
      <rPr>
        <sz val="11"/>
        <rFont val="Arial"/>
        <family val="2"/>
      </rPr>
      <t>NA - M08</t>
    </r>
  </si>
  <si>
    <r>
      <rPr>
        <sz val="11"/>
        <rFont val="Arial"/>
        <family val="2"/>
      </rPr>
      <t>NA - M09</t>
    </r>
  </si>
  <si>
    <r>
      <rPr>
        <sz val="11"/>
        <rFont val="Arial"/>
        <family val="2"/>
      </rPr>
      <t>NA - M10</t>
    </r>
  </si>
  <si>
    <r>
      <rPr>
        <sz val="11"/>
        <rFont val="Arial"/>
        <family val="2"/>
      </rPr>
      <t>NA - M16</t>
    </r>
  </si>
  <si>
    <r>
      <rPr>
        <sz val="11"/>
        <color theme="1"/>
        <rFont val="Arial"/>
        <family val="2"/>
      </rPr>
      <t>Anthracène</t>
    </r>
  </si>
  <si>
    <r>
      <rPr>
        <sz val="11"/>
        <rFont val="Arial"/>
        <family val="2"/>
      </rPr>
      <t>120-12-7</t>
    </r>
  </si>
  <si>
    <r>
      <rPr>
        <sz val="11"/>
        <color theme="1"/>
        <rFont val="Arial"/>
        <family val="2"/>
      </rPr>
      <t>C</t>
    </r>
  </si>
  <si>
    <r>
      <rPr>
        <sz val="11"/>
        <color theme="1"/>
        <rFont val="Arial"/>
        <family val="2"/>
      </rPr>
      <t>Benzène</t>
    </r>
  </si>
  <si>
    <r>
      <rPr>
        <sz val="11"/>
        <rFont val="Arial"/>
        <family val="2"/>
      </rPr>
      <t>71-43-2</t>
    </r>
  </si>
  <si>
    <r>
      <rPr>
        <sz val="11"/>
        <color theme="1"/>
        <rFont val="Arial"/>
        <family val="2"/>
      </rPr>
      <t>C</t>
    </r>
  </si>
  <si>
    <r>
      <rPr>
        <sz val="11"/>
        <color theme="1"/>
        <rFont val="Arial"/>
        <family val="2"/>
      </rPr>
      <t>Benz[a]anthracène</t>
    </r>
  </si>
  <si>
    <r>
      <rPr>
        <sz val="11"/>
        <rFont val="Arial"/>
        <family val="2"/>
      </rPr>
      <t>56-55-3</t>
    </r>
  </si>
  <si>
    <r>
      <rPr>
        <sz val="11"/>
        <color theme="1"/>
        <rFont val="Arial"/>
        <family val="2"/>
      </rPr>
      <t>C</t>
    </r>
  </si>
  <si>
    <r>
      <rPr>
        <sz val="11"/>
        <rFont val="Arial"/>
        <family val="2"/>
      </rPr>
      <t>218-01-9</t>
    </r>
  </si>
  <si>
    <r>
      <rPr>
        <sz val="11"/>
        <color theme="1"/>
        <rFont val="Arial"/>
        <family val="2"/>
      </rPr>
      <t>C</t>
    </r>
  </si>
  <si>
    <r>
      <rPr>
        <sz val="11"/>
        <color theme="1"/>
        <rFont val="Arial"/>
        <family val="2"/>
      </rPr>
      <t>Benzo[b]fluoranthène</t>
    </r>
  </si>
  <si>
    <r>
      <rPr>
        <sz val="11"/>
        <rFont val="Arial"/>
        <family val="2"/>
      </rPr>
      <t>205-99-2</t>
    </r>
  </si>
  <si>
    <r>
      <rPr>
        <sz val="11"/>
        <color theme="1"/>
        <rFont val="Arial"/>
        <family val="2"/>
      </rPr>
      <t>C</t>
    </r>
  </si>
  <si>
    <r>
      <rPr>
        <sz val="11"/>
        <color theme="1"/>
        <rFont val="Arial"/>
        <family val="2"/>
      </rPr>
      <t>Benzo[ghi]pérylène</t>
    </r>
  </si>
  <si>
    <r>
      <rPr>
        <sz val="11"/>
        <rFont val="Arial"/>
        <family val="2"/>
      </rPr>
      <t>191-24-2</t>
    </r>
  </si>
  <si>
    <r>
      <rPr>
        <sz val="11"/>
        <color theme="1"/>
        <rFont val="Arial"/>
        <family val="2"/>
      </rPr>
      <t>C</t>
    </r>
  </si>
  <si>
    <r>
      <rPr>
        <sz val="11"/>
        <rFont val="Arial"/>
        <family val="2"/>
      </rPr>
      <t>207-08-9</t>
    </r>
  </si>
  <si>
    <r>
      <rPr>
        <sz val="11"/>
        <color theme="1"/>
        <rFont val="Arial"/>
        <family val="2"/>
      </rPr>
      <t>C</t>
    </r>
  </si>
  <si>
    <r>
      <rPr>
        <sz val="11"/>
        <color theme="1"/>
        <rFont val="Arial"/>
        <family val="2"/>
      </rPr>
      <t>Dibenz[a,h]anthracène</t>
    </r>
  </si>
  <si>
    <r>
      <rPr>
        <sz val="11"/>
        <rFont val="Arial"/>
        <family val="2"/>
      </rPr>
      <t>53-70-3</t>
    </r>
  </si>
  <si>
    <r>
      <rPr>
        <sz val="11"/>
        <color theme="1"/>
        <rFont val="Arial"/>
        <family val="2"/>
      </rPr>
      <t>D</t>
    </r>
  </si>
  <si>
    <r>
      <rPr>
        <sz val="11"/>
        <color theme="1"/>
        <rFont val="Arial"/>
        <family val="2"/>
      </rPr>
      <t>Éthylbenzène</t>
    </r>
  </si>
  <si>
    <r>
      <rPr>
        <sz val="11"/>
        <rFont val="Arial"/>
        <family val="2"/>
      </rPr>
      <t>100-41-4</t>
    </r>
  </si>
  <si>
    <r>
      <rPr>
        <sz val="11"/>
        <color theme="1"/>
        <rFont val="Arial"/>
        <family val="2"/>
      </rPr>
      <t>E</t>
    </r>
  </si>
  <si>
    <r>
      <rPr>
        <sz val="11"/>
        <color theme="1"/>
        <rFont val="Arial"/>
        <family val="2"/>
      </rPr>
      <t>Fluoranthène</t>
    </r>
  </si>
  <si>
    <r>
      <rPr>
        <sz val="11"/>
        <rFont val="Arial"/>
        <family val="2"/>
      </rPr>
      <t>206-44-0</t>
    </r>
  </si>
  <si>
    <r>
      <rPr>
        <sz val="11"/>
        <color theme="1"/>
        <rFont val="Arial"/>
        <family val="2"/>
      </rPr>
      <t>C</t>
    </r>
  </si>
  <si>
    <r>
      <rPr>
        <sz val="11"/>
        <color theme="1"/>
        <rFont val="Arial"/>
        <family val="2"/>
      </rPr>
      <t>Formaldéhyde</t>
    </r>
  </si>
  <si>
    <r>
      <rPr>
        <sz val="11"/>
        <rFont val="Arial"/>
        <family val="2"/>
      </rPr>
      <t>50-00-0</t>
    </r>
  </si>
  <si>
    <r>
      <rPr>
        <sz val="11"/>
        <color theme="1"/>
        <rFont val="Arial"/>
        <family val="2"/>
      </rPr>
      <t>E</t>
    </r>
  </si>
  <si>
    <r>
      <rPr>
        <sz val="11"/>
        <rFont val="Arial"/>
        <family val="2"/>
      </rPr>
      <t>193-39-5</t>
    </r>
  </si>
  <si>
    <r>
      <rPr>
        <sz val="11"/>
        <color theme="1"/>
        <rFont val="Arial"/>
        <family val="2"/>
      </rPr>
      <t>C</t>
    </r>
  </si>
  <si>
    <r>
      <rPr>
        <sz val="11"/>
        <color theme="1"/>
        <rFont val="Arial"/>
        <family val="2"/>
      </rPr>
      <t>Naphtalène</t>
    </r>
  </si>
  <si>
    <r>
      <rPr>
        <sz val="11"/>
        <rFont val="Arial"/>
        <family val="2"/>
      </rPr>
      <t>91-20-3</t>
    </r>
  </si>
  <si>
    <r>
      <rPr>
        <sz val="11"/>
        <color theme="1"/>
        <rFont val="Arial"/>
        <family val="2"/>
      </rPr>
      <t>C</t>
    </r>
  </si>
  <si>
    <r>
      <rPr>
        <sz val="11"/>
        <rFont val="Arial"/>
        <family val="2"/>
      </rPr>
      <t>3268-87-9</t>
    </r>
  </si>
  <si>
    <r>
      <rPr>
        <sz val="11"/>
        <color theme="1"/>
        <rFont val="Arial"/>
        <family val="2"/>
      </rPr>
      <t>E</t>
    </r>
  </si>
  <si>
    <r>
      <rPr>
        <sz val="11"/>
        <color theme="1"/>
        <rFont val="Arial"/>
        <family val="2"/>
      </rPr>
      <t>Phénanthrène</t>
    </r>
  </si>
  <si>
    <r>
      <rPr>
        <sz val="11"/>
        <rFont val="Arial"/>
        <family val="2"/>
      </rPr>
      <t>85-01-8</t>
    </r>
  </si>
  <si>
    <r>
      <rPr>
        <sz val="11"/>
        <color theme="1"/>
        <rFont val="Arial"/>
        <family val="2"/>
      </rPr>
      <t>E</t>
    </r>
  </si>
  <si>
    <r>
      <rPr>
        <sz val="11"/>
        <color theme="1"/>
        <rFont val="Arial"/>
        <family val="2"/>
      </rPr>
      <t>Pyrène</t>
    </r>
  </si>
  <si>
    <r>
      <rPr>
        <sz val="11"/>
        <rFont val="Arial"/>
        <family val="2"/>
      </rPr>
      <t>129-00-0</t>
    </r>
  </si>
  <si>
    <r>
      <rPr>
        <sz val="11"/>
        <color theme="1"/>
        <rFont val="Arial"/>
        <family val="2"/>
      </rPr>
      <t>C</t>
    </r>
  </si>
  <si>
    <r>
      <rPr>
        <sz val="11"/>
        <color theme="1"/>
        <rFont val="Arial"/>
        <family val="2"/>
      </rPr>
      <t>Toluène</t>
    </r>
  </si>
  <si>
    <r>
      <rPr>
        <sz val="11"/>
        <rFont val="Arial"/>
        <family val="2"/>
      </rPr>
      <t>108-88-3</t>
    </r>
  </si>
  <si>
    <r>
      <rPr>
        <sz val="11"/>
        <color theme="1"/>
        <rFont val="Arial"/>
        <family val="2"/>
      </rPr>
      <t>D</t>
    </r>
  </si>
  <si>
    <r>
      <rPr>
        <sz val="11"/>
        <rFont val="Arial"/>
        <family val="2"/>
      </rPr>
      <t>Xylène (tous les isomères)</t>
    </r>
  </si>
  <si>
    <r>
      <rPr>
        <sz val="11"/>
        <rFont val="Arial"/>
        <family val="2"/>
      </rPr>
      <t>1330-20-7</t>
    </r>
  </si>
  <si>
    <r>
      <rPr>
        <sz val="11"/>
        <color theme="1"/>
        <rFont val="Arial"/>
        <family val="2"/>
      </rPr>
      <t>E</t>
    </r>
  </si>
  <si>
    <r>
      <rPr>
        <sz val="11"/>
        <color theme="1"/>
        <rFont val="Arial"/>
        <family val="2"/>
      </rPr>
      <t>Acénaphthène</t>
    </r>
  </si>
  <si>
    <r>
      <rPr>
        <sz val="11"/>
        <rFont val="Arial"/>
        <family val="2"/>
      </rPr>
      <t>83-32-9</t>
    </r>
  </si>
  <si>
    <r>
      <rPr>
        <sz val="11"/>
        <color theme="1"/>
        <rFont val="Arial"/>
        <family val="2"/>
      </rPr>
      <t>C</t>
    </r>
  </si>
  <si>
    <r>
      <rPr>
        <sz val="11"/>
        <color theme="1"/>
        <rFont val="Arial"/>
        <family val="2"/>
      </rPr>
      <t>Acénaphthylène</t>
    </r>
  </si>
  <si>
    <r>
      <rPr>
        <sz val="11"/>
        <rFont val="Arial"/>
        <family val="2"/>
      </rPr>
      <t>208-96-8</t>
    </r>
  </si>
  <si>
    <r>
      <rPr>
        <sz val="11"/>
        <color theme="1"/>
        <rFont val="Arial"/>
        <family val="2"/>
      </rPr>
      <t>D</t>
    </r>
  </si>
  <si>
    <r>
      <rPr>
        <sz val="11"/>
        <color theme="1"/>
        <rFont val="Arial"/>
        <family val="2"/>
      </rPr>
      <t>Fluorène</t>
    </r>
  </si>
  <si>
    <r>
      <rPr>
        <sz val="11"/>
        <rFont val="Arial"/>
        <family val="2"/>
      </rPr>
      <t>86-73-7</t>
    </r>
  </si>
  <si>
    <r>
      <rPr>
        <sz val="11"/>
        <color theme="1"/>
        <rFont val="Arial"/>
        <family val="2"/>
      </rPr>
      <t>C</t>
    </r>
  </si>
  <si>
    <r>
      <rPr>
        <sz val="11"/>
        <rFont val="Arial"/>
        <family val="2"/>
      </rPr>
      <t>Référence pour les COV différenciés par espèce : AP-42, tableau 1.3-9</t>
    </r>
  </si>
  <si>
    <r>
      <rPr>
        <sz val="11"/>
        <color theme="1"/>
        <rFont val="Arial"/>
        <family val="2"/>
      </rPr>
      <t>Numéro CAS</t>
    </r>
  </si>
  <si>
    <r>
      <rPr>
        <sz val="11"/>
        <color theme="1"/>
        <rFont val="Arial"/>
        <family val="2"/>
      </rPr>
      <t>Facteur d’émission non contrôlé</t>
    </r>
  </si>
  <si>
    <r>
      <rPr>
        <sz val="11"/>
        <color theme="1"/>
        <rFont val="Arial"/>
        <family val="2"/>
      </rPr>
      <t>Cote du facteur d’émission</t>
    </r>
  </si>
  <si>
    <r>
      <rPr>
        <b/>
        <sz val="11"/>
        <color theme="1"/>
        <rFont val="Arial"/>
        <family val="2"/>
      </rPr>
      <t>Émissions annuelles non contrôlées</t>
    </r>
  </si>
  <si>
    <r>
      <rPr>
        <b/>
        <sz val="11"/>
        <color theme="1"/>
        <rFont val="Arial"/>
        <family val="2"/>
      </rPr>
      <t>Émissions annuelles contrôlées</t>
    </r>
  </si>
  <si>
    <r>
      <rPr>
        <sz val="11"/>
        <color theme="1"/>
        <rFont val="Arial"/>
        <family val="2"/>
      </rPr>
      <t>PARTIE DE L’INRP</t>
    </r>
  </si>
  <si>
    <r>
      <rPr>
        <sz val="11"/>
        <color theme="1"/>
        <rFont val="Arial"/>
        <family val="2"/>
      </rPr>
      <t>PARTIE 5</t>
    </r>
  </si>
  <si>
    <r>
      <rPr>
        <sz val="11"/>
        <color theme="1"/>
        <rFont val="Arial"/>
        <family val="2"/>
      </rPr>
      <t>kg/m</t>
    </r>
    <r>
      <rPr>
        <vertAlign val="superscript"/>
        <sz val="11"/>
        <color theme="1"/>
        <rFont val="Arial"/>
        <family val="2"/>
      </rPr>
      <t>3</t>
    </r>
  </si>
  <si>
    <r>
      <rPr>
        <b/>
        <sz val="11"/>
        <color theme="1"/>
        <rFont val="Arial"/>
        <family val="2"/>
      </rPr>
      <t>kg/année</t>
    </r>
  </si>
  <si>
    <r>
      <rPr>
        <b/>
        <sz val="11"/>
        <color theme="1"/>
        <rFont val="Arial"/>
        <family val="2"/>
      </rPr>
      <t>kg/année</t>
    </r>
  </si>
  <si>
    <r>
      <rPr>
        <sz val="11"/>
        <color theme="1"/>
        <rFont val="Arial"/>
        <family val="2"/>
      </rPr>
      <t>Arsenic (et ses composés)</t>
    </r>
  </si>
  <si>
    <r>
      <rPr>
        <sz val="11"/>
        <rFont val="Arial"/>
        <family val="2"/>
      </rPr>
      <t>NA - 02</t>
    </r>
  </si>
  <si>
    <r>
      <rPr>
        <sz val="11"/>
        <color theme="1"/>
        <rFont val="Arial"/>
        <family val="2"/>
      </rPr>
      <t>E</t>
    </r>
  </si>
  <si>
    <r>
      <rPr>
        <sz val="11"/>
        <color theme="1"/>
        <rFont val="Arial"/>
        <family val="2"/>
      </rPr>
      <t>Cadmium (et ses composés)</t>
    </r>
  </si>
  <si>
    <r>
      <rPr>
        <sz val="11"/>
        <rFont val="Arial"/>
        <family val="2"/>
      </rPr>
      <t>NA - 03</t>
    </r>
  </si>
  <si>
    <r>
      <rPr>
        <sz val="11"/>
        <color theme="1"/>
        <rFont val="Arial"/>
        <family val="2"/>
      </rPr>
      <t>E</t>
    </r>
  </si>
  <si>
    <r>
      <rPr>
        <sz val="11"/>
        <color theme="1"/>
        <rFont val="Arial"/>
        <family val="2"/>
      </rPr>
      <t>Chrome (et ses composés, sauf les composés du chrome VI)</t>
    </r>
  </si>
  <si>
    <r>
      <rPr>
        <sz val="11"/>
        <rFont val="Arial"/>
        <family val="2"/>
      </rPr>
      <t>NA - 04</t>
    </r>
  </si>
  <si>
    <r>
      <rPr>
        <sz val="11"/>
        <color theme="1"/>
        <rFont val="Arial"/>
        <family val="2"/>
      </rPr>
      <t>E</t>
    </r>
  </si>
  <si>
    <r>
      <rPr>
        <sz val="11"/>
        <color theme="1"/>
        <rFont val="Arial"/>
        <family val="2"/>
      </rPr>
      <t>Cuivre (et ses composés)</t>
    </r>
  </si>
  <si>
    <r>
      <rPr>
        <sz val="11"/>
        <rFont val="Arial"/>
        <family val="2"/>
      </rPr>
      <t>NA - 06</t>
    </r>
  </si>
  <si>
    <r>
      <rPr>
        <sz val="11"/>
        <color theme="1"/>
        <rFont val="Arial"/>
        <family val="2"/>
      </rPr>
      <t>E</t>
    </r>
  </si>
  <si>
    <r>
      <rPr>
        <sz val="11"/>
        <rFont val="Arial"/>
        <family val="2"/>
      </rPr>
      <t>NA - 08</t>
    </r>
  </si>
  <si>
    <r>
      <rPr>
        <sz val="11"/>
        <color theme="1"/>
        <rFont val="Arial"/>
        <family val="2"/>
      </rPr>
      <t>E</t>
    </r>
  </si>
  <si>
    <r>
      <rPr>
        <sz val="11"/>
        <color theme="1"/>
        <rFont val="Arial"/>
        <family val="2"/>
      </rPr>
      <t>Manganèse (et ses composés)</t>
    </r>
  </si>
  <si>
    <r>
      <rPr>
        <sz val="11"/>
        <rFont val="Arial"/>
        <family val="2"/>
      </rPr>
      <t>NA - 09</t>
    </r>
  </si>
  <si>
    <r>
      <rPr>
        <sz val="11"/>
        <color theme="1"/>
        <rFont val="Arial"/>
        <family val="2"/>
      </rPr>
      <t>E</t>
    </r>
  </si>
  <si>
    <r>
      <rPr>
        <sz val="11"/>
        <color theme="1"/>
        <rFont val="Arial"/>
        <family val="2"/>
      </rPr>
      <t>Mercure (et ses composés)</t>
    </r>
  </si>
  <si>
    <r>
      <rPr>
        <sz val="11"/>
        <rFont val="Arial"/>
        <family val="2"/>
      </rPr>
      <t>NA - 10</t>
    </r>
  </si>
  <si>
    <r>
      <rPr>
        <sz val="11"/>
        <color theme="1"/>
        <rFont val="Arial"/>
        <family val="2"/>
      </rPr>
      <t>E</t>
    </r>
  </si>
  <si>
    <r>
      <rPr>
        <sz val="11"/>
        <color theme="1"/>
        <rFont val="Arial"/>
        <family val="2"/>
      </rPr>
      <t>Nickel (et ses composés)</t>
    </r>
  </si>
  <si>
    <r>
      <rPr>
        <sz val="11"/>
        <rFont val="Arial"/>
        <family val="2"/>
      </rPr>
      <t>NA - 11</t>
    </r>
  </si>
  <si>
    <r>
      <rPr>
        <sz val="11"/>
        <color theme="1"/>
        <rFont val="Arial"/>
        <family val="2"/>
      </rPr>
      <t>E</t>
    </r>
  </si>
  <si>
    <r>
      <rPr>
        <sz val="11"/>
        <color theme="1"/>
        <rFont val="Arial"/>
        <family val="2"/>
      </rPr>
      <t>Sélénium (et ses composés)</t>
    </r>
  </si>
  <si>
    <r>
      <rPr>
        <sz val="11"/>
        <rFont val="Arial"/>
        <family val="2"/>
      </rPr>
      <t>NA - 12</t>
    </r>
  </si>
  <si>
    <r>
      <rPr>
        <sz val="11"/>
        <color theme="1"/>
        <rFont val="Arial"/>
        <family val="2"/>
      </rPr>
      <t>E</t>
    </r>
  </si>
  <si>
    <r>
      <rPr>
        <sz val="11"/>
        <color theme="1"/>
        <rFont val="Arial"/>
        <family val="2"/>
      </rPr>
      <t>Zinc (et ses composés)</t>
    </r>
  </si>
  <si>
    <r>
      <rPr>
        <sz val="11"/>
        <rFont val="Arial"/>
        <family val="2"/>
      </rPr>
      <t>NA - 14</t>
    </r>
  </si>
  <si>
    <r>
      <rPr>
        <sz val="11"/>
        <color theme="1"/>
        <rFont val="Arial"/>
        <family val="2"/>
      </rPr>
      <t>E</t>
    </r>
  </si>
  <si>
    <r>
      <rPr>
        <b/>
        <sz val="11"/>
        <color theme="1"/>
        <rFont val="Arial"/>
        <family val="2"/>
      </rPr>
      <t>I = Chaudière industrielle</t>
    </r>
  </si>
  <si>
    <r>
      <rPr>
        <b/>
        <sz val="11"/>
        <color theme="0"/>
        <rFont val="Arial"/>
        <family val="2"/>
      </rPr>
      <t>Entrées des utilisateurs - Pour INDICE</t>
    </r>
  </si>
  <si>
    <r>
      <rPr>
        <b/>
        <sz val="11"/>
        <color theme="1"/>
        <rFont val="Arial"/>
        <family val="2"/>
      </rPr>
      <t>C = Chaudière commerciale, institutionnelle ou résidentielle</t>
    </r>
  </si>
  <si>
    <r>
      <rPr>
        <sz val="11"/>
        <color theme="1"/>
        <rFont val="Arial"/>
        <family val="2"/>
      </rPr>
      <t>Type de chaudière</t>
    </r>
  </si>
  <si>
    <r>
      <rPr>
        <b/>
        <sz val="11"/>
        <color theme="1"/>
        <rFont val="Arial"/>
        <family val="2"/>
      </rPr>
      <t>U = Chaudière de service public</t>
    </r>
  </si>
  <si>
    <r>
      <rPr>
        <sz val="11"/>
        <color theme="1"/>
        <rFont val="Arial"/>
        <family val="2"/>
      </rPr>
      <t>Cote du facteur d’émission</t>
    </r>
  </si>
  <si>
    <r>
      <rPr>
        <sz val="11"/>
        <color theme="1"/>
        <rFont val="Arial"/>
        <family val="2"/>
      </rPr>
      <t>Type de chaudière ou d’appareil de chauffage</t>
    </r>
  </si>
  <si>
    <r>
      <rPr>
        <sz val="11"/>
        <color theme="1"/>
        <rFont val="Arial"/>
        <family val="2"/>
      </rPr>
      <t>I</t>
    </r>
  </si>
  <si>
    <r>
      <rPr>
        <sz val="11"/>
        <color theme="1"/>
        <rFont val="Arial"/>
        <family val="2"/>
      </rPr>
      <t>E</t>
    </r>
  </si>
  <si>
    <r>
      <rPr>
        <sz val="11"/>
        <color theme="1"/>
        <rFont val="Arial"/>
        <family val="2"/>
      </rPr>
      <t>C</t>
    </r>
  </si>
  <si>
    <r>
      <rPr>
        <sz val="11"/>
        <color theme="1"/>
        <rFont val="Arial"/>
        <family val="2"/>
      </rPr>
      <t>D</t>
    </r>
  </si>
  <si>
    <r>
      <rPr>
        <sz val="11"/>
        <color theme="1"/>
        <rFont val="Arial"/>
        <family val="2"/>
      </rPr>
      <t>U</t>
    </r>
  </si>
  <si>
    <r>
      <rPr>
        <sz val="11"/>
        <color theme="1"/>
        <rFont val="Arial"/>
        <family val="2"/>
      </rPr>
      <t>E</t>
    </r>
  </si>
  <si>
    <r>
      <rPr>
        <sz val="11"/>
        <color theme="1"/>
        <rFont val="Arial"/>
        <family val="2"/>
      </rPr>
      <t>Cote du facteur d’émission</t>
    </r>
  </si>
  <si>
    <r>
      <rPr>
        <sz val="11"/>
        <color theme="1"/>
        <rFont val="Arial"/>
        <family val="2"/>
      </rPr>
      <t>Type de chaudière ou d’appareil de chauffage</t>
    </r>
  </si>
  <si>
    <r>
      <rPr>
        <sz val="11"/>
        <color theme="1"/>
        <rFont val="Arial"/>
        <family val="2"/>
      </rPr>
      <t>FE</t>
    </r>
  </si>
  <si>
    <r>
      <rPr>
        <sz val="11"/>
        <color theme="1"/>
        <rFont val="Arial"/>
        <family val="2"/>
      </rPr>
      <t>Cote</t>
    </r>
  </si>
  <si>
    <r>
      <rPr>
        <sz val="11"/>
        <color theme="1"/>
        <rFont val="Arial"/>
        <family val="2"/>
      </rPr>
      <t>I</t>
    </r>
  </si>
  <si>
    <r>
      <rPr>
        <sz val="11"/>
        <color theme="1"/>
        <rFont val="Arial"/>
        <family val="2"/>
      </rPr>
      <t>E</t>
    </r>
  </si>
  <si>
    <r>
      <rPr>
        <sz val="11"/>
        <color theme="1"/>
        <rFont val="Arial"/>
        <family val="2"/>
      </rPr>
      <t>C</t>
    </r>
  </si>
  <si>
    <r>
      <rPr>
        <sz val="11"/>
        <color theme="1"/>
        <rFont val="Arial"/>
        <family val="2"/>
      </rPr>
      <t>D</t>
    </r>
  </si>
  <si>
    <r>
      <rPr>
        <sz val="11"/>
        <color theme="1"/>
        <rFont val="Arial"/>
        <family val="2"/>
      </rPr>
      <t>U</t>
    </r>
  </si>
  <si>
    <r>
      <rPr>
        <sz val="11"/>
        <color theme="1"/>
        <rFont val="Arial"/>
        <family val="2"/>
      </rPr>
      <t>E</t>
    </r>
  </si>
  <si>
    <r>
      <rPr>
        <sz val="11"/>
        <color theme="1"/>
        <rFont val="Arial"/>
        <family val="2"/>
      </rPr>
      <t>Référence : AP-42, tableau 1.3-6 pour les chaudières industrielles</t>
    </r>
  </si>
  <si>
    <r>
      <rPr>
        <sz val="11"/>
        <color theme="1"/>
        <rFont val="Arial"/>
        <family val="2"/>
      </rPr>
      <t xml:space="preserve">Référence : AP-42, tableau 1.3-7 pour les chaudières commerciales </t>
    </r>
  </si>
  <si>
    <r>
      <rPr>
        <sz val="11"/>
        <color theme="1"/>
        <rFont val="Arial"/>
        <family val="2"/>
      </rPr>
      <t xml:space="preserve">La même valeur a été prise en compte pour les chaudières des services publics et les chaudières industrielles qui utilisent du mazout léger.  </t>
    </r>
  </si>
  <si>
    <r>
      <rPr>
        <sz val="11"/>
        <color theme="1"/>
        <rFont val="Arial"/>
        <family val="2"/>
      </rPr>
      <t>Cote du facteur d’émission</t>
    </r>
  </si>
  <si>
    <r>
      <rPr>
        <sz val="11"/>
        <color theme="1"/>
        <rFont val="Arial"/>
        <family val="2"/>
      </rPr>
      <t>Type de chaudière ou d’appareil de chauffage</t>
    </r>
  </si>
  <si>
    <r>
      <rPr>
        <sz val="11"/>
        <color theme="1"/>
        <rFont val="Arial"/>
        <family val="2"/>
      </rPr>
      <t>FE</t>
    </r>
  </si>
  <si>
    <r>
      <rPr>
        <sz val="11"/>
        <color theme="1"/>
        <rFont val="Arial"/>
        <family val="2"/>
      </rPr>
      <t>Cote</t>
    </r>
  </si>
  <si>
    <r>
      <rPr>
        <sz val="11"/>
        <color theme="1"/>
        <rFont val="Arial"/>
        <family val="2"/>
      </rPr>
      <t>I</t>
    </r>
  </si>
  <si>
    <r>
      <rPr>
        <sz val="11"/>
        <color theme="1"/>
        <rFont val="Arial"/>
        <family val="2"/>
      </rPr>
      <t>A</t>
    </r>
  </si>
  <si>
    <r>
      <rPr>
        <sz val="11"/>
        <color theme="1"/>
        <rFont val="Arial"/>
        <family val="2"/>
      </rPr>
      <t>C</t>
    </r>
  </si>
  <si>
    <r>
      <rPr>
        <sz val="11"/>
        <color theme="1"/>
        <rFont val="Arial"/>
        <family val="2"/>
      </rPr>
      <t>A</t>
    </r>
  </si>
  <si>
    <r>
      <rPr>
        <sz val="11"/>
        <color theme="1"/>
        <rFont val="Arial"/>
        <family val="2"/>
      </rPr>
      <t>U</t>
    </r>
  </si>
  <si>
    <r>
      <rPr>
        <sz val="11"/>
        <color theme="1"/>
        <rFont val="Arial"/>
        <family val="2"/>
      </rPr>
      <t>A</t>
    </r>
  </si>
  <si>
    <r>
      <rPr>
        <sz val="11"/>
        <color theme="1"/>
        <rFont val="Arial"/>
        <family val="2"/>
      </rPr>
      <t>Référence : AP-42, tableau 1.3-6 pour les chaudières industrielles</t>
    </r>
  </si>
  <si>
    <r>
      <rPr>
        <sz val="11"/>
        <color theme="1"/>
        <rFont val="Arial"/>
        <family val="2"/>
      </rPr>
      <t xml:space="preserve">Référence : AP-42, tableau 1.3-7 pour les chaudières commerciales </t>
    </r>
  </si>
  <si>
    <r>
      <rPr>
        <sz val="11"/>
        <color theme="1"/>
        <rFont val="Arial"/>
        <family val="2"/>
      </rPr>
      <t xml:space="preserve">La même valeur a été prise en compte pour les chaudières des services publics et les chaudières industrielles qui utilisent du mazout léger.  </t>
    </r>
  </si>
  <si>
    <t xml:space="preserve">Étant donné que les seuils de déclaration de l’INRP s’appliquent à l’installation dans son ensemble, les rejets atmosphériques calculés dans cette feuille de calcul doivent être ajoutés aux rejets de substances de l’INRP provenant d’autres sources (rejets atmosphériques) et activités à l’installation.  </t>
  </si>
  <si>
    <t xml:space="preserve">Les onglets « FICHE MAÎTRESSE - H. RÉSIDUELLE » et « FICHE MAÎTRESSE - H. DISTILLÉE » permettent d’afficher le détail des calculs, comme les émissions non contrôlées et contrôlées, ainsi que la catégorie de déclaration de l’INRP. Les valeurs dans ces feuilles sont verrouillées et ne peuvent pas être modifiées par l’utilisateur. </t>
  </si>
  <si>
    <t>La présente feuille de calcul a été conçue pour aider à estimer les rejets de substances de l’INRP provenant de la combustion du mazout dans des chaudières et des appareils de chauffage. Toutes les substances de l’INRP pour lesquelles des facteurs d’émission sont disponibles ont été prises en compte pour cette activité. 
Le calculateur n’est pas applicable si vous utilisez des huiles usées dans votre installation.</t>
  </si>
  <si>
    <t>Une fois que vous avez entré toutes les valeurs obligatoires, vous pouvez consulter les estimations de rejets générées, qui apparaîtront en caractères gras lorsque vous sélectionnerez un des quatre onglets suivants : « Rejets de la partie 1 », « Rejets des parties 2 et 3 », « Rejets de la partie 4 » et « Rejets de la partie 5 ». Les rejets de la partie 1 comprennent les principales substances de l’INRP avec un seuil de 10 tonnes de substances produites, traitées ou autrement utilisées, ainsi que certains autres composés métalliques dont les seuils varient entre 5 et 1000 kg. Les rejets des parties 2 et 3 comprennent respectivement les HAP et les dioxines et furannes. Ce calculateur n’estime pas les HAP différenciés par espèce, ni les rejets de la partie 3. Les substances de la partie 2 ont un seuil de déclaration pour les substances créées fortuitement, et les substances de la partie 3 ont un seuil de déclaration reposant sur le type d’activité. Les rejets de la partie 4 comprennent les sept principaux contaminants atmosphériques dont les seuils de déclaration sont basés sur les rejets. Les rejets de la partie 5 comprennent les composés organiques volatils (COV) ciblés ayant des critères de déclaration supplémentaires, également appelés « COV différenciés par espèce ».</t>
  </si>
  <si>
    <t xml:space="preserve">Pour convertir les Btu/gal en GJ/m³, diviser par 3588. </t>
  </si>
  <si>
    <t>Unité</t>
  </si>
  <si>
    <r>
      <t>Contrôle des NO</t>
    </r>
    <r>
      <rPr>
        <b/>
        <i/>
        <vertAlign val="subscript"/>
        <sz val="10"/>
        <color theme="1"/>
        <rFont val="Arial   "/>
      </rPr>
      <t>X</t>
    </r>
  </si>
  <si>
    <t>Unité du FE</t>
  </si>
  <si>
    <t>tonne</t>
  </si>
  <si>
    <t>kilogramme</t>
  </si>
  <si>
    <r>
      <t>Octachlorodibenzo-</t>
    </r>
    <r>
      <rPr>
        <i/>
        <sz val="10"/>
        <color theme="1"/>
        <rFont val="Arial"/>
        <family val="2"/>
      </rPr>
      <t>p</t>
    </r>
    <r>
      <rPr>
        <sz val="10"/>
        <color theme="1"/>
        <rFont val="Arial"/>
        <family val="2"/>
      </rPr>
      <t>-dioxine (OCDD)</t>
    </r>
  </si>
  <si>
    <r>
      <t>Oxydes d’azote, exprimés en tant que NO</t>
    </r>
    <r>
      <rPr>
        <vertAlign val="subscript"/>
        <sz val="10"/>
        <color theme="1"/>
        <rFont val="Arial "/>
      </rPr>
      <t>2</t>
    </r>
    <r>
      <rPr>
        <sz val="10"/>
        <color theme="1"/>
        <rFont val="Arial "/>
      </rPr>
      <t xml:space="preserve"> (NO</t>
    </r>
    <r>
      <rPr>
        <vertAlign val="subscript"/>
        <sz val="10"/>
        <color theme="1"/>
        <rFont val="Arial "/>
      </rPr>
      <t>X</t>
    </r>
    <r>
      <rPr>
        <sz val="10"/>
        <color theme="1"/>
        <rFont val="Arial "/>
      </rPr>
      <t>)</t>
    </r>
  </si>
  <si>
    <t>Unité du taux d’activité</t>
  </si>
  <si>
    <r>
      <t>Oxydes d’azote, exprimé en tant que NO</t>
    </r>
    <r>
      <rPr>
        <vertAlign val="subscript"/>
        <sz val="11"/>
        <color theme="1"/>
        <rFont val="Arial"/>
        <family val="2"/>
      </rPr>
      <t>2</t>
    </r>
    <r>
      <rPr>
        <sz val="11"/>
        <color theme="1"/>
        <rFont val="Arial"/>
        <family val="2"/>
      </rPr>
      <t xml:space="preserve"> (NO</t>
    </r>
    <r>
      <rPr>
        <vertAlign val="subscript"/>
        <sz val="11"/>
        <color theme="1"/>
        <rFont val="Arial"/>
        <family val="2"/>
      </rPr>
      <t>X</t>
    </r>
    <r>
      <rPr>
        <sz val="11"/>
        <color theme="1"/>
        <rFont val="Arial"/>
        <family val="2"/>
      </rPr>
      <t>)</t>
    </r>
  </si>
  <si>
    <t>Indéno[1,2,3-cd] pyrène</t>
  </si>
  <si>
    <r>
      <t>Octachlorodibenzo-</t>
    </r>
    <r>
      <rPr>
        <i/>
        <sz val="11"/>
        <color theme="1"/>
        <rFont val="Arial"/>
        <family val="2"/>
      </rPr>
      <t>p</t>
    </r>
    <r>
      <rPr>
        <sz val="11"/>
        <color theme="1"/>
        <rFont val="Arial"/>
        <family val="2"/>
      </rPr>
      <t>-dioxine (OCDD)</t>
    </r>
  </si>
  <si>
    <t>Facteur d’émission 
pour le tableau principal</t>
  </si>
  <si>
    <t>En sélectionnant l’onglet « Données d’entrée » dans ce classeur, vous pouvez entrer toutes les données pertinentes requises pour réaliser les estimations de rejets calculées dans les quatre onglets qui suivent. 
Les cellules surlignées en jaune sont des valeurs obligatoires pour l’outil d’estimation. Certaines cellules jaunes ont un menu déroulant permettant de sélectionner la région, le type de carburant ou le dispositif de contrôle des émissions approprié, et des valeurs par défaut sont fournies pour certaines valeurs obligatoires au cas où des valeurs propres au site ne seraient pas disponibles.</t>
  </si>
  <si>
    <t xml:space="preserve">La feuille de calcul a été pré-remplie avec les facteurs d’émission par défaut. Cependant, si vous préférez utiliser un facteur d’émission propre à un site, vous pouvez utiliser le modèle fourni à l’onglet « FE propres au site » pour réaliser ce calcul. Si vous choisissez d’entrer votre propre facteur d’émission, assurez-vous que les unités ont été converties en conséquence et que vous tenez compte uniquement des émissions calculées à l’onglet « FE propres au site » pour ce contaminant.  </t>
  </si>
  <si>
    <r>
      <t>Les facteurs d’émission utilisés dans cette feuille de calcul sont fondés sur des émissions non contrôlées. La section 5 de l’onglet « Données d’entrée » permet d’ajuster les émissions pour un ou tous les contaminants, afin de tenir compte des dispositifs de contrôle des émissions de l’installation. Cela peut être fait en sélectionnant une valeur d’efficacité du contrôle par défaut qui est fournie ou en entrant une valeur d’efficacité du contrôle propre au site. Pour la matière particulaire, on suppose que l’efficacité du contrôle est la même pour la matière particulaire totale (TPM), la matière particulaire inférieure ou égale à 10 µm (PM</t>
    </r>
    <r>
      <rPr>
        <vertAlign val="subscript"/>
        <sz val="10"/>
        <rFont val="Arial"/>
        <family val="2"/>
      </rPr>
      <t>10</t>
    </r>
    <r>
      <rPr>
        <sz val="10"/>
        <rFont val="Arial"/>
        <family val="2"/>
      </rPr>
      <t>) et la matière particulaire inférieure ou égale à 2,5 µm (PM</t>
    </r>
    <r>
      <rPr>
        <vertAlign val="subscript"/>
        <sz val="11"/>
        <rFont val="Calibri"/>
        <family val="2"/>
      </rPr>
      <t>2,5</t>
    </r>
    <r>
      <rPr>
        <sz val="11"/>
        <color theme="1"/>
        <rFont val="Calibri"/>
        <family val="2"/>
        <scheme val="minor"/>
      </rPr>
      <t>).</t>
    </r>
  </si>
  <si>
    <t>Matière particulaire totale (TPM)</t>
  </si>
  <si>
    <r>
      <t>Matière particulaire ≤ 10 µm (PM</t>
    </r>
    <r>
      <rPr>
        <vertAlign val="subscript"/>
        <sz val="10"/>
        <rFont val="Arial "/>
      </rPr>
      <t>10</t>
    </r>
    <r>
      <rPr>
        <sz val="10"/>
        <rFont val="Arial "/>
      </rPr>
      <t>)</t>
    </r>
  </si>
  <si>
    <r>
      <t>Matière particulaire ≤ 2,5 µm (PM</t>
    </r>
    <r>
      <rPr>
        <vertAlign val="subscript"/>
        <sz val="10"/>
        <rFont val="Arial "/>
      </rPr>
      <t>2,5</t>
    </r>
    <r>
      <rPr>
        <sz val="10"/>
        <rFont val="Arial "/>
      </rPr>
      <t>)</t>
    </r>
  </si>
  <si>
    <t>Pouvoir calorifique moyenne</t>
  </si>
  <si>
    <t>Pouvoir calorifique du combustible</t>
  </si>
  <si>
    <t xml:space="preserve">La feuille de calcul utilise une valeur de pouvoir calorifique par défaut de 39,0 pour le mazout. Cette valeur peut être modifiée si une valeur propre au site est disponible. </t>
  </si>
  <si>
    <r>
      <t>Matière particulaire ≤ 10 µm (PM</t>
    </r>
    <r>
      <rPr>
        <vertAlign val="subscript"/>
        <sz val="11"/>
        <rFont val="Arial"/>
        <family val="2"/>
      </rPr>
      <t>10</t>
    </r>
    <r>
      <rPr>
        <sz val="11"/>
        <rFont val="Arial"/>
        <family val="2"/>
      </rPr>
      <t>)</t>
    </r>
  </si>
  <si>
    <r>
      <t>Matière particulaire ≤ 2,5 µm (PM</t>
    </r>
    <r>
      <rPr>
        <vertAlign val="subscript"/>
        <sz val="11"/>
        <rFont val="Arial"/>
        <family val="2"/>
      </rPr>
      <t>2,5</t>
    </r>
    <r>
      <rPr>
        <sz val="11"/>
        <rFont val="Arial"/>
        <family val="2"/>
      </rPr>
      <t>)</t>
    </r>
  </si>
  <si>
    <t>U = Chaudière de centrale électrique</t>
  </si>
  <si>
    <r>
      <t>Facteur d’émission de PM</t>
    </r>
    <r>
      <rPr>
        <b/>
        <vertAlign val="subscript"/>
        <sz val="11"/>
        <color theme="0"/>
        <rFont val="Arial"/>
        <family val="2"/>
      </rPr>
      <t>10</t>
    </r>
    <r>
      <rPr>
        <b/>
        <sz val="11"/>
        <color theme="0"/>
        <rFont val="Arial"/>
        <family val="2"/>
      </rPr>
      <t xml:space="preserve"> (lb/10</t>
    </r>
    <r>
      <rPr>
        <b/>
        <vertAlign val="superscript"/>
        <sz val="11"/>
        <color theme="0"/>
        <rFont val="Arial"/>
        <family val="2"/>
      </rPr>
      <t>3</t>
    </r>
    <r>
      <rPr>
        <b/>
        <sz val="11"/>
        <color theme="0"/>
        <rFont val="Arial"/>
        <family val="2"/>
      </rPr>
      <t> gal US)</t>
    </r>
  </si>
  <si>
    <r>
      <t>Facteur d’émission de PM</t>
    </r>
    <r>
      <rPr>
        <b/>
        <vertAlign val="subscript"/>
        <sz val="11"/>
        <color theme="0"/>
        <rFont val="Arial"/>
        <family val="2"/>
      </rPr>
      <t>2,5</t>
    </r>
    <r>
      <rPr>
        <b/>
        <sz val="11"/>
        <color theme="0"/>
        <rFont val="Arial"/>
        <family val="2"/>
      </rPr>
      <t xml:space="preserve"> (lb/10</t>
    </r>
    <r>
      <rPr>
        <b/>
        <vertAlign val="superscript"/>
        <sz val="11"/>
        <color theme="0"/>
        <rFont val="Arial"/>
        <family val="2"/>
      </rPr>
      <t>3</t>
    </r>
    <r>
      <rPr>
        <b/>
        <sz val="11"/>
        <color theme="0"/>
        <rFont val="Arial"/>
        <family val="2"/>
      </rPr>
      <t> gal US)</t>
    </r>
  </si>
  <si>
    <r>
      <t>Matrice du type de chaudière, de la cote et du facteur d’émission (PM</t>
    </r>
    <r>
      <rPr>
        <vertAlign val="subscript"/>
        <sz val="11"/>
        <color theme="1"/>
        <rFont val="Arial"/>
        <family val="2"/>
      </rPr>
      <t>10</t>
    </r>
    <r>
      <rPr>
        <sz val="11"/>
        <color theme="1"/>
        <rFont val="Arial"/>
        <family val="2"/>
      </rPr>
      <t>, PM</t>
    </r>
    <r>
      <rPr>
        <vertAlign val="subscript"/>
        <sz val="11"/>
        <color theme="1"/>
        <rFont val="Arial"/>
        <family val="2"/>
      </rPr>
      <t>2,5</t>
    </r>
    <r>
      <rPr>
        <sz val="11"/>
        <color theme="1"/>
        <rFont val="Arial"/>
        <family val="2"/>
      </rPr>
      <t>, COV)</t>
    </r>
  </si>
  <si>
    <t>TPM</t>
  </si>
  <si>
    <t>Mazout No.4</t>
  </si>
  <si>
    <t xml:space="preserve">Si l’installation dispose d’un système de surveillance continue des émissions (SSCE) installé sur l’échappement de la chaudière ou de l'appareil de chauffage, d’une garantie du fabricant sur les émissions de contaminants atmosphériques ou d’autres données sur les émissions propres au site, ces données doivent être utilisées de préférence pour la déclaration à l’INRP. </t>
  </si>
  <si>
    <t xml:space="preserve">Entrez la consommation mensuelle de mazout en mètre cube (m³). Pour convertir les litres en mètres cubes (m³), diviser par 1000. </t>
  </si>
  <si>
    <t>Échelle nationale</t>
  </si>
  <si>
    <t>Distillée</t>
  </si>
  <si>
    <t>Industriel</t>
  </si>
  <si>
    <t>1A</t>
  </si>
  <si>
    <t>1B</t>
  </si>
  <si>
    <t>Teneur moyenne en soufre (pourcentage):  2003-2016</t>
  </si>
  <si>
    <t xml:space="preserve">Si vous connaissez la teneur en soufre du carburant, utilisez la valeur propre au site. En l’absence de données spécifiques au site, les données sur la teneur en soufre peuvent être extraites de:    </t>
  </si>
  <si>
    <t>Données recueillies sous le Règlement no. 1 concernant les renseignements sur les combustibles - Portail du gouvernement ouvert (canada.ca)</t>
  </si>
  <si>
    <t>Composés organiques volatils (total)(COV)</t>
  </si>
  <si>
    <t>Composés organiques volatils (total) (COV)</t>
  </si>
  <si>
    <t>Des cotes sont présentées pour chaque facteur d’émission dans la colonne à droite de celle des unités des facteurs d’émission. Pour obtenir plus d’information sur la signification de ces cotes, consultez la foire aux questions du document AP-42 : https://www.epa.gov/air-emissions-factors-and-quantification/ap-42-frequent-questions#ratings (disponible en anglais seulement)</t>
  </si>
  <si>
    <t>Chrome hexavalent (et ses composés)</t>
  </si>
  <si>
    <t>Numéro CAS*</t>
  </si>
  <si>
    <t>* NE CAS ou identificateur de substance de l'INRP</t>
  </si>
  <si>
    <t>Carburant diesel à très faible teneur en soufre</t>
  </si>
  <si>
    <t>Rejets de substances de l’INRP fondés sur des facteurs d’émission propres au site</t>
  </si>
  <si>
    <t>(Si vous choisissez d’entrer votre propre facteur d’émission, assurez-vous que les unités ont été converties en conséquence.)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</si>
</sst>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
    <numFmt numFmtId="167" formatCode="0.000E+00"/>
    <numFmt numFmtId="168" formatCode="0.00000"/>
  </numFmts>
  <fonts count="50">
    <font>
      <sz val="11"/>
      <color theme="1"/>
      <name val="Calibri"/>
      <family val="2"/>
      <scheme val="minor"/>
    </font>
    <font>
      <sz val="11"/>
      <color theme="1"/>
      <name val="Calibri"/>
      <family val="2"/>
      <scheme val="minor"/>
    </font>
    <font>
      <sz val="10"/>
      <name val="Arial"/>
      <family val="2"/>
    </font>
    <font>
      <sz val="12"/>
      <color theme="1"/>
      <name val="Arial"/>
      <family val="2"/>
    </font>
    <font>
      <sz val="10"/>
      <color indexed="8"/>
      <name val="Arial"/>
      <family val="2"/>
    </font>
    <font>
      <sz val="10"/>
      <color theme="1"/>
      <name val="Arial   "/>
    </font>
    <font>
      <sz val="10"/>
      <color theme="0"/>
      <name val="Arial   "/>
    </font>
    <font>
      <b/>
      <sz val="10"/>
      <color theme="1"/>
      <name val="Arial   "/>
    </font>
    <font>
      <sz val="10"/>
      <name val="Arial   "/>
    </font>
    <font>
      <b/>
      <sz val="10"/>
      <name val="Arial   "/>
    </font>
    <font>
      <b/>
      <vertAlign val="superscript"/>
      <sz val="10"/>
      <name val="Arial   "/>
    </font>
    <font>
      <b/>
      <i/>
      <sz val="10"/>
      <color theme="1"/>
      <name val="Arial   "/>
    </font>
    <font>
      <b/>
      <i/>
      <vertAlign val="subscript"/>
      <sz val="10"/>
      <color theme="1"/>
      <name val="Arial   "/>
    </font>
    <font>
      <b/>
      <u/>
      <sz val="10"/>
      <color theme="1"/>
      <name val="Arial   "/>
    </font>
    <font>
      <sz val="10"/>
      <name val="Arial"/>
      <family val="2"/>
    </font>
    <font>
      <b/>
      <sz val="10"/>
      <name val="Arial"/>
      <family val="2"/>
    </font>
    <font>
      <b/>
      <u/>
      <sz val="10"/>
      <name val="Arial"/>
      <family val="2"/>
    </font>
    <font>
      <b/>
      <sz val="10"/>
      <color indexed="10"/>
      <name val="Arial"/>
      <family val="2"/>
    </font>
    <font>
      <sz val="10"/>
      <color indexed="17"/>
      <name val="Arial"/>
      <family val="2"/>
    </font>
    <font>
      <b/>
      <u/>
      <sz val="14"/>
      <name val="Arial"/>
      <family val="2"/>
    </font>
    <font>
      <sz val="10"/>
      <color theme="1"/>
      <name val="Arial"/>
      <family val="2"/>
    </font>
    <font>
      <vertAlign val="superscript"/>
      <sz val="10"/>
      <color theme="1"/>
      <name val="Arial"/>
      <family val="2"/>
    </font>
    <font>
      <sz val="8"/>
      <name val="Calibri"/>
      <family val="2"/>
      <scheme val="minor"/>
    </font>
    <font>
      <sz val="10"/>
      <name val="Arial "/>
    </font>
    <font>
      <sz val="10"/>
      <color theme="1"/>
      <name val="Arial "/>
    </font>
    <font>
      <vertAlign val="superscript"/>
      <sz val="10"/>
      <color theme="1"/>
      <name val="Arial "/>
    </font>
    <font>
      <b/>
      <sz val="10"/>
      <name val="Arial "/>
    </font>
    <font>
      <b/>
      <sz val="11"/>
      <color rgb="FFFF0000"/>
      <name val="Arial"/>
      <family val="2"/>
    </font>
    <font>
      <sz val="11"/>
      <color theme="1"/>
      <name val="Arial"/>
      <family val="2"/>
    </font>
    <font>
      <vertAlign val="subscript"/>
      <sz val="10"/>
      <color theme="1"/>
      <name val="Arial"/>
      <family val="2"/>
    </font>
    <font>
      <vertAlign val="subscript"/>
      <sz val="10"/>
      <color theme="1"/>
      <name val="Arial "/>
    </font>
    <font>
      <vertAlign val="subscript"/>
      <sz val="10"/>
      <name val="Arial "/>
    </font>
    <font>
      <vertAlign val="subscript"/>
      <sz val="10"/>
      <name val="Arial"/>
      <family val="2"/>
    </font>
    <font>
      <b/>
      <sz val="16"/>
      <color rgb="FF7030A0"/>
      <name val="Arial"/>
      <family val="2"/>
    </font>
    <font>
      <b/>
      <sz val="11"/>
      <color theme="1"/>
      <name val="Arial"/>
      <family val="2"/>
    </font>
    <font>
      <vertAlign val="superscript"/>
      <sz val="11"/>
      <color theme="1"/>
      <name val="Arial"/>
      <family val="2"/>
    </font>
    <font>
      <vertAlign val="subscript"/>
      <sz val="11"/>
      <color theme="1"/>
      <name val="Arial"/>
      <family val="2"/>
    </font>
    <font>
      <sz val="11"/>
      <name val="Arial"/>
      <family val="2"/>
    </font>
    <font>
      <vertAlign val="subscript"/>
      <sz val="11"/>
      <name val="Arial"/>
      <family val="2"/>
    </font>
    <font>
      <sz val="11"/>
      <color theme="0"/>
      <name val="Arial"/>
      <family val="2"/>
    </font>
    <font>
      <vertAlign val="superscript"/>
      <sz val="11"/>
      <color theme="0"/>
      <name val="Arial"/>
      <family val="2"/>
    </font>
    <font>
      <b/>
      <sz val="11"/>
      <color theme="0"/>
      <name val="Arial"/>
      <family val="2"/>
    </font>
    <font>
      <b/>
      <vertAlign val="subscript"/>
      <sz val="11"/>
      <color theme="0"/>
      <name val="Arial"/>
      <family val="2"/>
    </font>
    <font>
      <b/>
      <vertAlign val="superscript"/>
      <sz val="11"/>
      <color theme="0"/>
      <name val="Arial"/>
      <family val="2"/>
    </font>
    <font>
      <vertAlign val="subscript"/>
      <sz val="11"/>
      <name val="Calibri"/>
      <family val="2"/>
    </font>
    <font>
      <i/>
      <sz val="10"/>
      <color theme="1"/>
      <name val="Arial"/>
      <family val="2"/>
    </font>
    <font>
      <i/>
      <sz val="11"/>
      <color theme="1"/>
      <name val="Arial"/>
      <family val="2"/>
    </font>
    <font>
      <sz val="10"/>
      <color rgb="FFFF0000"/>
      <name val="Arial"/>
      <family val="2"/>
    </font>
    <font>
      <u/>
      <sz val="11"/>
      <color theme="10"/>
      <name val="Calibri"/>
      <family val="2"/>
      <scheme val="minor"/>
    </font>
    <font>
      <u/>
      <sz val="10"/>
      <color theme="10"/>
      <name val="Arial"/>
      <family val="2"/>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7030A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bgColor indexed="64"/>
      </patternFill>
    </fill>
    <fill>
      <patternFill patternType="solid">
        <fgColor theme="1" tint="4.9989318521683403E-2"/>
        <bgColor indexed="64"/>
      </patternFill>
    </fill>
    <fill>
      <patternFill patternType="solid">
        <fgColor theme="5" tint="0.39997558519241921"/>
        <bgColor indexed="64"/>
      </patternFill>
    </fill>
    <fill>
      <patternFill patternType="solid">
        <fgColor rgb="FFFFFF00"/>
        <bgColor indexed="64"/>
      </patternFill>
    </fill>
    <fill>
      <patternFill patternType="solid">
        <fgColor indexed="2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3" fillId="0" borderId="0"/>
    <xf numFmtId="0" fontId="4" fillId="0" borderId="0"/>
    <xf numFmtId="0" fontId="14" fillId="0" borderId="0"/>
    <xf numFmtId="0" fontId="48" fillId="0" borderId="0" applyNumberFormat="0" applyFill="0" applyBorder="0" applyAlignment="0" applyProtection="0"/>
  </cellStyleXfs>
  <cellXfs count="311">
    <xf numFmtId="0" fontId="0" fillId="0" borderId="0" xfId="0"/>
    <xf numFmtId="0" fontId="5" fillId="2" borderId="0" xfId="0" applyFont="1" applyFill="1"/>
    <xf numFmtId="0" fontId="6" fillId="2" borderId="0" xfId="0" applyFont="1" applyFill="1"/>
    <xf numFmtId="0" fontId="8" fillId="2" borderId="0" xfId="0" applyFont="1" applyFill="1" applyBorder="1"/>
    <xf numFmtId="0" fontId="5" fillId="2" borderId="0" xfId="0" applyFont="1" applyFill="1" applyBorder="1"/>
    <xf numFmtId="0" fontId="7" fillId="2" borderId="0" xfId="0" applyFont="1" applyFill="1" applyBorder="1"/>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9" fillId="2" borderId="1" xfId="0" applyFont="1" applyFill="1" applyBorder="1" applyAlignment="1">
      <alignment horizontal="center" vertical="center"/>
    </xf>
    <xf numFmtId="165" fontId="8" fillId="2" borderId="2" xfId="0" applyNumberFormat="1" applyFont="1" applyFill="1" applyBorder="1" applyAlignment="1">
      <alignment horizontal="center" vertical="center"/>
    </xf>
    <xf numFmtId="0" fontId="9" fillId="2" borderId="4" xfId="0" applyFont="1" applyFill="1" applyBorder="1" applyAlignment="1">
      <alignment vertical="center"/>
    </xf>
    <xf numFmtId="0" fontId="5" fillId="2" borderId="0" xfId="0" applyFont="1" applyFill="1" applyBorder="1" applyAlignment="1" applyProtection="1">
      <protection locked="0"/>
    </xf>
    <xf numFmtId="0" fontId="8" fillId="2" borderId="0" xfId="0" applyFont="1" applyFill="1" applyBorder="1" applyAlignment="1">
      <alignment horizontal="left" vertical="center"/>
    </xf>
    <xf numFmtId="0" fontId="5" fillId="2" borderId="0" xfId="0" applyFont="1" applyFill="1" applyBorder="1" applyAlignment="1" applyProtection="1">
      <alignment horizontal="center"/>
      <protection locked="0"/>
    </xf>
    <xf numFmtId="0" fontId="6" fillId="2" borderId="0" xfId="0" applyFont="1" applyFill="1" applyBorder="1"/>
    <xf numFmtId="0" fontId="8" fillId="2" borderId="1" xfId="0" applyFont="1" applyFill="1" applyBorder="1" applyAlignment="1">
      <alignment vertical="center"/>
    </xf>
    <xf numFmtId="0" fontId="11" fillId="2" borderId="0" xfId="0" applyFont="1" applyFill="1" applyBorder="1"/>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7" fillId="17" borderId="0" xfId="0" applyFont="1" applyFill="1" applyAlignment="1"/>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10" xfId="0" applyFont="1" applyFill="1" applyBorder="1" applyAlignment="1"/>
    <xf numFmtId="0" fontId="5" fillId="2" borderId="7" xfId="0" applyFont="1" applyFill="1" applyBorder="1" applyAlignment="1"/>
    <xf numFmtId="0" fontId="5" fillId="2" borderId="11" xfId="0" applyFont="1" applyFill="1" applyBorder="1" applyAlignment="1"/>
    <xf numFmtId="0" fontId="5" fillId="2" borderId="6" xfId="0" applyFont="1" applyFill="1" applyBorder="1" applyAlignment="1">
      <alignment horizontal="center"/>
    </xf>
    <xf numFmtId="0" fontId="5" fillId="2" borderId="1" xfId="0" applyFont="1" applyFill="1" applyBorder="1" applyAlignment="1">
      <alignment horizontal="center"/>
    </xf>
    <xf numFmtId="1" fontId="5" fillId="2" borderId="6" xfId="0" applyNumberFormat="1" applyFont="1" applyFill="1" applyBorder="1" applyAlignment="1">
      <alignment horizontal="center"/>
    </xf>
    <xf numFmtId="1" fontId="5" fillId="2" borderId="11" xfId="0" applyNumberFormat="1" applyFont="1" applyFill="1" applyBorder="1" applyAlignment="1">
      <alignment horizontal="center"/>
    </xf>
    <xf numFmtId="0" fontId="5" fillId="2" borderId="4" xfId="0" applyFont="1" applyFill="1" applyBorder="1" applyAlignment="1"/>
    <xf numFmtId="0" fontId="5" fillId="2" borderId="5" xfId="0" applyFont="1" applyFill="1" applyBorder="1" applyAlignment="1"/>
    <xf numFmtId="0" fontId="5" fillId="2" borderId="6" xfId="0" applyFont="1" applyFill="1" applyBorder="1" applyAlignment="1"/>
    <xf numFmtId="0" fontId="5" fillId="2" borderId="0" xfId="0" applyFont="1" applyFill="1" applyBorder="1" applyAlignment="1">
      <alignment horizontal="left"/>
    </xf>
    <xf numFmtId="1" fontId="5" fillId="2" borderId="0" xfId="0" applyNumberFormat="1" applyFont="1" applyFill="1" applyBorder="1"/>
    <xf numFmtId="1" fontId="5" fillId="2" borderId="12" xfId="0" applyNumberFormat="1" applyFont="1" applyFill="1" applyBorder="1" applyAlignment="1">
      <alignment horizontal="center"/>
    </xf>
    <xf numFmtId="0" fontId="5" fillId="2" borderId="8" xfId="0" applyFont="1" applyFill="1" applyBorder="1" applyAlignment="1"/>
    <xf numFmtId="0" fontId="5" fillId="17" borderId="0" xfId="0" applyFont="1" applyFill="1"/>
    <xf numFmtId="0" fontId="5" fillId="17" borderId="1" xfId="0" applyFont="1" applyFill="1" applyBorder="1"/>
    <xf numFmtId="0" fontId="13" fillId="2" borderId="0" xfId="0" applyFont="1" applyFill="1" applyAlignment="1">
      <alignment horizontal="center"/>
    </xf>
    <xf numFmtId="164" fontId="5" fillId="17" borderId="1" xfId="0" applyNumberFormat="1" applyFont="1" applyFill="1" applyBorder="1" applyAlignment="1" applyProtection="1">
      <alignment horizontal="center" vertical="center"/>
      <protection locked="0"/>
    </xf>
    <xf numFmtId="164" fontId="5" fillId="17" borderId="2" xfId="0" applyNumberFormat="1" applyFont="1" applyFill="1" applyBorder="1" applyAlignment="1" applyProtection="1">
      <alignment horizontal="center" vertical="center"/>
      <protection locked="0"/>
    </xf>
    <xf numFmtId="0" fontId="8" fillId="2" borderId="9" xfId="0" applyFont="1" applyFill="1" applyBorder="1"/>
    <xf numFmtId="0" fontId="5" fillId="2" borderId="2" xfId="0" applyFont="1" applyFill="1" applyBorder="1" applyAlignment="1" applyProtection="1">
      <alignment horizontal="center" vertical="center"/>
    </xf>
    <xf numFmtId="164" fontId="9" fillId="2" borderId="1" xfId="0" applyNumberFormat="1" applyFont="1" applyFill="1" applyBorder="1" applyAlignment="1" applyProtection="1">
      <alignment horizontal="center" vertical="center"/>
    </xf>
    <xf numFmtId="0" fontId="8" fillId="2" borderId="4" xfId="0" applyFont="1" applyFill="1" applyBorder="1" applyAlignment="1">
      <alignment vertical="center"/>
    </xf>
    <xf numFmtId="0" fontId="8" fillId="2" borderId="6" xfId="0" applyFont="1" applyFill="1" applyBorder="1" applyAlignment="1">
      <alignment vertical="center"/>
    </xf>
    <xf numFmtId="165" fontId="5" fillId="2" borderId="1" xfId="0" applyNumberFormat="1" applyFont="1" applyFill="1" applyBorder="1" applyAlignment="1">
      <alignment horizontal="center"/>
    </xf>
    <xf numFmtId="0" fontId="5" fillId="2" borderId="0" xfId="0" applyFont="1" applyFill="1" applyBorder="1" applyAlignment="1">
      <alignment horizontal="center"/>
    </xf>
    <xf numFmtId="165" fontId="9" fillId="2" borderId="1" xfId="0" applyNumberFormat="1" applyFont="1" applyFill="1" applyBorder="1" applyAlignment="1">
      <alignment horizontal="center" vertical="center"/>
    </xf>
    <xf numFmtId="0" fontId="15" fillId="18" borderId="1" xfId="0" applyFont="1" applyFill="1" applyBorder="1"/>
    <xf numFmtId="0" fontId="2" fillId="0" borderId="1" xfId="0" applyFont="1" applyBorder="1" applyAlignment="1" applyProtection="1">
      <alignment horizontal="center"/>
    </xf>
    <xf numFmtId="0" fontId="15" fillId="18" borderId="1" xfId="0" applyFont="1" applyFill="1" applyBorder="1" applyAlignment="1" applyProtection="1">
      <alignment horizontal="center" vertical="center"/>
    </xf>
    <xf numFmtId="9" fontId="5" fillId="2" borderId="6" xfId="1" applyNumberFormat="1" applyFont="1" applyFill="1" applyBorder="1" applyAlignment="1">
      <alignment horizontal="center" vertical="center"/>
    </xf>
    <xf numFmtId="0" fontId="8" fillId="2" borderId="0" xfId="0" applyFont="1" applyFill="1"/>
    <xf numFmtId="0" fontId="8" fillId="2" borderId="18" xfId="0" applyFont="1" applyFill="1" applyBorder="1"/>
    <xf numFmtId="0" fontId="8" fillId="0" borderId="1" xfId="0" applyFont="1" applyBorder="1" applyAlignment="1">
      <alignment horizontal="center" vertical="center"/>
    </xf>
    <xf numFmtId="0" fontId="9" fillId="17" borderId="0" xfId="0" applyFont="1" applyFill="1" applyAlignment="1"/>
    <xf numFmtId="0" fontId="8" fillId="2" borderId="1" xfId="0" applyFont="1" applyFill="1" applyBorder="1" applyAlignment="1">
      <alignment horizontal="center"/>
    </xf>
    <xf numFmtId="1" fontId="8" fillId="2" borderId="1" xfId="0" applyNumberFormat="1" applyFont="1" applyFill="1" applyBorder="1" applyAlignment="1">
      <alignment horizontal="center"/>
    </xf>
    <xf numFmtId="1" fontId="8" fillId="2" borderId="0" xfId="0" applyNumberFormat="1" applyFont="1" applyFill="1" applyBorder="1"/>
    <xf numFmtId="0" fontId="8" fillId="2" borderId="1" xfId="0" applyFont="1" applyFill="1" applyBorder="1" applyAlignment="1">
      <alignment horizontal="center" vertical="center"/>
    </xf>
    <xf numFmtId="0" fontId="20" fillId="2" borderId="0" xfId="0" applyFont="1" applyFill="1"/>
    <xf numFmtId="0" fontId="20" fillId="0" borderId="1" xfId="0" applyFont="1" applyFill="1" applyBorder="1"/>
    <xf numFmtId="49" fontId="2" fillId="0" borderId="1" xfId="2" applyNumberFormat="1" applyFont="1" applyBorder="1" applyAlignment="1">
      <alignment horizontal="center" vertical="center" wrapText="1"/>
    </xf>
    <xf numFmtId="0" fontId="20" fillId="0" borderId="1" xfId="0" applyFont="1" applyBorder="1"/>
    <xf numFmtId="49" fontId="2" fillId="0" borderId="1" xfId="2" applyNumberFormat="1" applyFont="1" applyFill="1" applyBorder="1" applyAlignment="1">
      <alignment horizontal="center" vertical="center" wrapText="1"/>
    </xf>
    <xf numFmtId="0" fontId="20" fillId="2" borderId="0" xfId="0" applyFont="1" applyFill="1" applyBorder="1"/>
    <xf numFmtId="0" fontId="20" fillId="2" borderId="0" xfId="0" applyFont="1" applyFill="1" applyAlignment="1">
      <alignment horizontal="center"/>
    </xf>
    <xf numFmtId="0" fontId="2" fillId="2" borderId="0" xfId="0" applyFont="1" applyFill="1" applyProtection="1"/>
    <xf numFmtId="0" fontId="15" fillId="18" borderId="1" xfId="0" applyFont="1" applyFill="1" applyBorder="1" applyAlignment="1">
      <alignment horizontal="center" vertical="center"/>
    </xf>
    <xf numFmtId="11" fontId="2" fillId="0" borderId="1" xfId="2" applyNumberFormat="1" applyBorder="1" applyAlignment="1">
      <alignment horizontal="center" vertical="center" wrapText="1"/>
    </xf>
    <xf numFmtId="0" fontId="2" fillId="0" borderId="1" xfId="2" applyBorder="1" applyAlignment="1">
      <alignment horizontal="center" vertical="center" wrapText="1"/>
    </xf>
    <xf numFmtId="165" fontId="2" fillId="0" borderId="1" xfId="2" applyNumberFormat="1" applyBorder="1" applyAlignment="1">
      <alignment horizontal="center" vertical="center"/>
    </xf>
    <xf numFmtId="166" fontId="15" fillId="0" borderId="1" xfId="2" applyNumberFormat="1" applyFont="1" applyBorder="1" applyAlignment="1">
      <alignment horizontal="center" vertical="center" wrapText="1"/>
    </xf>
    <xf numFmtId="0" fontId="2" fillId="2" borderId="0" xfId="0" applyFont="1" applyFill="1"/>
    <xf numFmtId="49" fontId="2" fillId="2" borderId="0" xfId="2" applyNumberFormat="1" applyFill="1" applyAlignment="1">
      <alignment horizontal="center" vertical="center" wrapText="1"/>
    </xf>
    <xf numFmtId="49" fontId="2" fillId="0" borderId="0" xfId="2" applyNumberFormat="1" applyAlignment="1">
      <alignment horizontal="center" vertical="center" wrapText="1"/>
    </xf>
    <xf numFmtId="11" fontId="20" fillId="2" borderId="0" xfId="0" applyNumberFormat="1" applyFont="1" applyFill="1"/>
    <xf numFmtId="49" fontId="20" fillId="2" borderId="1" xfId="0" applyNumberFormat="1" applyFont="1" applyFill="1" applyBorder="1" applyAlignment="1">
      <alignment horizontal="center" vertical="center"/>
    </xf>
    <xf numFmtId="0" fontId="2" fillId="0" borderId="1" xfId="2" applyNumberFormat="1" applyBorder="1" applyAlignment="1">
      <alignment horizontal="center" vertical="center" wrapText="1"/>
    </xf>
    <xf numFmtId="0" fontId="20" fillId="0" borderId="1" xfId="0" applyFont="1" applyBorder="1" applyAlignment="1" applyProtection="1">
      <alignment horizontal="center"/>
    </xf>
    <xf numFmtId="0" fontId="15" fillId="18" borderId="1" xfId="0" applyFont="1" applyFill="1" applyBorder="1" applyAlignment="1" applyProtection="1">
      <alignment vertical="center"/>
    </xf>
    <xf numFmtId="49" fontId="2" fillId="0" borderId="0" xfId="2" applyNumberFormat="1" applyFont="1" applyBorder="1" applyAlignment="1">
      <alignment horizontal="center" vertical="center" wrapText="1"/>
    </xf>
    <xf numFmtId="0" fontId="20" fillId="2" borderId="0" xfId="0" applyFont="1" applyFill="1" applyProtection="1"/>
    <xf numFmtId="0" fontId="20" fillId="2" borderId="0" xfId="0" applyFont="1" applyFill="1" applyAlignment="1" applyProtection="1">
      <alignment horizontal="right"/>
    </xf>
    <xf numFmtId="166" fontId="20" fillId="2" borderId="0" xfId="0" applyNumberFormat="1" applyFont="1" applyFill="1" applyProtection="1"/>
    <xf numFmtId="0" fontId="18" fillId="2" borderId="0" xfId="0" applyFont="1" applyFill="1" applyBorder="1" applyAlignment="1" applyProtection="1">
      <alignment horizontal="centerContinuous"/>
    </xf>
    <xf numFmtId="0" fontId="15" fillId="2" borderId="0" xfId="0" applyFont="1" applyFill="1" applyBorder="1" applyProtection="1"/>
    <xf numFmtId="0" fontId="15" fillId="2" borderId="0" xfId="0" applyFont="1" applyFill="1" applyBorder="1" applyAlignment="1" applyProtection="1">
      <alignment horizontal="center"/>
    </xf>
    <xf numFmtId="0" fontId="2" fillId="2" borderId="0" xfId="2" applyFont="1" applyFill="1" applyBorder="1" applyAlignment="1">
      <alignment horizontal="left" vertical="center" wrapText="1"/>
    </xf>
    <xf numFmtId="0" fontId="15" fillId="2" borderId="0" xfId="0" applyFont="1" applyFill="1" applyProtection="1"/>
    <xf numFmtId="165" fontId="2" fillId="0" borderId="1" xfId="0" applyNumberFormat="1" applyFont="1" applyBorder="1" applyAlignment="1" applyProtection="1">
      <alignment horizontal="center"/>
    </xf>
    <xf numFmtId="11" fontId="2" fillId="0" borderId="1" xfId="0" applyNumberFormat="1" applyFont="1" applyBorder="1" applyAlignment="1" applyProtection="1">
      <alignment horizontal="center"/>
    </xf>
    <xf numFmtId="49" fontId="2" fillId="2" borderId="0" xfId="2" applyNumberFormat="1" applyFont="1" applyFill="1" applyBorder="1" applyAlignment="1">
      <alignment horizontal="center" vertical="center" wrapText="1"/>
    </xf>
    <xf numFmtId="167" fontId="2" fillId="2" borderId="0" xfId="0" applyNumberFormat="1" applyFont="1" applyFill="1" applyBorder="1" applyAlignment="1" applyProtection="1">
      <alignment horizontal="center"/>
      <protection locked="0"/>
    </xf>
    <xf numFmtId="0" fontId="20" fillId="2" borderId="0" xfId="0" applyFont="1" applyFill="1" applyBorder="1" applyAlignment="1" applyProtection="1">
      <alignment horizontal="center"/>
    </xf>
    <xf numFmtId="166" fontId="17" fillId="2" borderId="0" xfId="0" applyNumberFormat="1" applyFont="1" applyFill="1" applyBorder="1" applyAlignment="1" applyProtection="1">
      <alignment horizontal="center"/>
    </xf>
    <xf numFmtId="166" fontId="15" fillId="0" borderId="1" xfId="0" applyNumberFormat="1" applyFont="1" applyBorder="1" applyAlignment="1" applyProtection="1">
      <alignment horizontal="center"/>
    </xf>
    <xf numFmtId="11" fontId="2" fillId="0" borderId="1" xfId="2" applyNumberFormat="1" applyFont="1" applyBorder="1" applyAlignment="1">
      <alignment horizontal="center" vertical="center" wrapText="1"/>
    </xf>
    <xf numFmtId="0" fontId="2" fillId="0" borderId="1" xfId="2" applyNumberFormat="1" applyFont="1" applyBorder="1" applyAlignment="1">
      <alignment horizontal="center" vertical="center" wrapText="1"/>
    </xf>
    <xf numFmtId="165" fontId="2" fillId="0" borderId="1" xfId="2" applyNumberFormat="1" applyFont="1" applyBorder="1" applyAlignment="1">
      <alignment horizontal="center" vertical="center"/>
    </xf>
    <xf numFmtId="0" fontId="2" fillId="0" borderId="1" xfId="2" applyFont="1" applyBorder="1" applyAlignment="1">
      <alignment horizontal="center" vertical="center" wrapText="1"/>
    </xf>
    <xf numFmtId="49" fontId="2" fillId="2" borderId="0" xfId="2" applyNumberFormat="1" applyFont="1" applyFill="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pplyProtection="1">
      <alignment horizontal="left" vertical="top"/>
    </xf>
    <xf numFmtId="0" fontId="16" fillId="2" borderId="0" xfId="0" applyFont="1" applyFill="1" applyAlignment="1">
      <alignment horizontal="left" vertical="top"/>
    </xf>
    <xf numFmtId="0" fontId="15" fillId="18" borderId="1" xfId="0" applyFont="1" applyFill="1" applyBorder="1" applyAlignment="1">
      <alignment vertical="center"/>
    </xf>
    <xf numFmtId="0" fontId="20" fillId="2" borderId="0" xfId="0" applyFont="1" applyFill="1" applyAlignment="1">
      <alignment vertical="center"/>
    </xf>
    <xf numFmtId="0" fontId="20" fillId="0" borderId="1" xfId="0" applyFont="1" applyBorder="1" applyAlignment="1">
      <alignment vertical="center"/>
    </xf>
    <xf numFmtId="0" fontId="20" fillId="0" borderId="0" xfId="0" applyFont="1" applyBorder="1" applyAlignment="1">
      <alignment vertical="center"/>
    </xf>
    <xf numFmtId="49" fontId="23" fillId="0" borderId="1" xfId="2" applyNumberFormat="1" applyFont="1" applyBorder="1" applyAlignment="1">
      <alignment horizontal="center" vertical="center" wrapText="1"/>
    </xf>
    <xf numFmtId="11" fontId="23" fillId="0" borderId="1" xfId="2" applyNumberFormat="1" applyFont="1" applyBorder="1" applyAlignment="1">
      <alignment horizontal="center" vertical="center" wrapText="1"/>
    </xf>
    <xf numFmtId="49" fontId="24" fillId="2" borderId="1" xfId="0" applyNumberFormat="1" applyFont="1" applyFill="1" applyBorder="1" applyAlignment="1">
      <alignment horizontal="center" vertical="center"/>
    </xf>
    <xf numFmtId="0" fontId="23" fillId="0" borderId="1" xfId="2" applyNumberFormat="1" applyFont="1" applyBorder="1" applyAlignment="1">
      <alignment horizontal="center" vertical="center" wrapText="1"/>
    </xf>
    <xf numFmtId="165" fontId="23" fillId="0" borderId="1" xfId="2" applyNumberFormat="1" applyFont="1" applyBorder="1" applyAlignment="1">
      <alignment horizontal="center" vertical="center"/>
    </xf>
    <xf numFmtId="166" fontId="26" fillId="0" borderId="1" xfId="2" applyNumberFormat="1" applyFont="1" applyBorder="1" applyAlignment="1">
      <alignment horizontal="center" vertical="center" wrapText="1"/>
    </xf>
    <xf numFmtId="0" fontId="23" fillId="0" borderId="1" xfId="2" applyFont="1" applyBorder="1" applyAlignment="1">
      <alignment horizontal="center" vertical="center" wrapText="1"/>
    </xf>
    <xf numFmtId="0" fontId="24" fillId="2" borderId="0" xfId="0" applyFont="1" applyFill="1"/>
    <xf numFmtId="0" fontId="24" fillId="0" borderId="1" xfId="0" applyFont="1" applyBorder="1" applyProtection="1"/>
    <xf numFmtId="0" fontId="23" fillId="0" borderId="1" xfId="0" applyFont="1" applyBorder="1" applyProtection="1"/>
    <xf numFmtId="168" fontId="8" fillId="2" borderId="2" xfId="0" applyNumberFormat="1" applyFont="1" applyFill="1" applyBorder="1" applyAlignment="1">
      <alignment horizontal="center" vertical="center"/>
    </xf>
    <xf numFmtId="168" fontId="7" fillId="2" borderId="1" xfId="0" applyNumberFormat="1" applyFont="1" applyFill="1" applyBorder="1" applyAlignment="1">
      <alignment horizontal="center"/>
    </xf>
    <xf numFmtId="49" fontId="19" fillId="0" borderId="0" xfId="5" applyNumberFormat="1" applyFont="1" applyFill="1" applyBorder="1" applyAlignment="1">
      <alignment horizontal="center" wrapText="1"/>
    </xf>
    <xf numFmtId="0" fontId="16" fillId="0" borderId="0" xfId="5" applyFont="1" applyFill="1" applyAlignment="1">
      <alignment wrapText="1"/>
    </xf>
    <xf numFmtId="0" fontId="2" fillId="0" borderId="0" xfId="5" applyNumberFormat="1" applyFont="1" applyFill="1" applyAlignment="1">
      <alignment vertical="top" wrapText="1"/>
    </xf>
    <xf numFmtId="0" fontId="27" fillId="0" borderId="0" xfId="0" applyFont="1" applyFill="1"/>
    <xf numFmtId="0" fontId="28" fillId="0" borderId="0" xfId="0" applyFont="1" applyFill="1"/>
    <xf numFmtId="0" fontId="2" fillId="0" borderId="0" xfId="5" applyFont="1" applyFill="1" applyAlignment="1">
      <alignment wrapText="1"/>
    </xf>
    <xf numFmtId="0" fontId="20" fillId="0" borderId="0" xfId="0" applyFont="1" applyFill="1"/>
    <xf numFmtId="0" fontId="2" fillId="0" borderId="0" xfId="2" applyAlignment="1">
      <alignment wrapText="1"/>
    </xf>
    <xf numFmtId="0" fontId="5" fillId="2" borderId="0" xfId="0" applyFont="1" applyFill="1" applyBorder="1" applyAlignment="1">
      <alignment horizontal="left" vertical="top" wrapText="1"/>
    </xf>
    <xf numFmtId="0" fontId="2" fillId="0" borderId="0" xfId="5" applyFont="1" applyFill="1" applyAlignment="1">
      <alignment horizontal="left" vertical="top" wrapText="1"/>
    </xf>
    <xf numFmtId="0" fontId="2" fillId="0" borderId="0" xfId="2" applyAlignment="1">
      <alignment vertical="top" wrapText="1"/>
    </xf>
    <xf numFmtId="0" fontId="2" fillId="0" borderId="0" xfId="2" applyFont="1" applyFill="1" applyAlignment="1">
      <alignment vertical="top" wrapText="1"/>
    </xf>
    <xf numFmtId="0" fontId="20" fillId="0" borderId="0" xfId="0" applyFont="1" applyFill="1" applyAlignment="1">
      <alignment vertical="top" wrapText="1"/>
    </xf>
    <xf numFmtId="0" fontId="20" fillId="0" borderId="0" xfId="0" applyFont="1" applyAlignment="1">
      <alignment vertical="top" wrapText="1"/>
    </xf>
    <xf numFmtId="0" fontId="33" fillId="2" borderId="0" xfId="0" applyFont="1" applyFill="1" applyBorder="1" applyAlignment="1">
      <alignment vertical="center"/>
    </xf>
    <xf numFmtId="0" fontId="28" fillId="2" borderId="0" xfId="0" applyFont="1" applyFill="1"/>
    <xf numFmtId="0" fontId="34" fillId="0"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0" borderId="2" xfId="0" applyFont="1" applyFill="1" applyBorder="1" applyAlignment="1">
      <alignment horizontal="center" vertical="center"/>
    </xf>
    <xf numFmtId="0" fontId="28" fillId="0" borderId="1" xfId="0" applyFont="1" applyBorder="1" applyProtection="1"/>
    <xf numFmtId="49" fontId="37" fillId="0" borderId="4" xfId="2" applyNumberFormat="1" applyFont="1" applyFill="1" applyBorder="1" applyAlignment="1">
      <alignment horizontal="center" vertical="center" wrapText="1"/>
    </xf>
    <xf numFmtId="11" fontId="28" fillId="0" borderId="1" xfId="0" applyNumberFormat="1" applyFont="1" applyFill="1" applyBorder="1" applyAlignment="1">
      <alignment horizontal="center" vertical="center"/>
    </xf>
    <xf numFmtId="11" fontId="28" fillId="5" borderId="1" xfId="0" applyNumberFormat="1" applyFont="1" applyFill="1" applyBorder="1" applyAlignment="1">
      <alignment horizontal="center" vertical="center"/>
    </xf>
    <xf numFmtId="49" fontId="28" fillId="0" borderId="4" xfId="0" applyNumberFormat="1" applyFont="1" applyFill="1" applyBorder="1" applyAlignment="1">
      <alignment horizontal="center" vertical="center"/>
    </xf>
    <xf numFmtId="2" fontId="34" fillId="2" borderId="4"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0" fontId="28" fillId="2" borderId="1" xfId="0" applyFont="1" applyFill="1" applyBorder="1" applyAlignment="1">
      <alignment horizontal="center" vertical="center"/>
    </xf>
    <xf numFmtId="0" fontId="28" fillId="0" borderId="4" xfId="0" applyNumberFormat="1" applyFont="1" applyFill="1" applyBorder="1" applyAlignment="1">
      <alignment horizontal="center" vertical="center"/>
    </xf>
    <xf numFmtId="0" fontId="37" fillId="0" borderId="1" xfId="0" applyFont="1" applyBorder="1" applyProtection="1"/>
    <xf numFmtId="49" fontId="37" fillId="0" borderId="4" xfId="2" applyNumberFormat="1" applyFont="1" applyBorder="1" applyAlignment="1">
      <alignment horizontal="center" vertical="center" wrapText="1"/>
    </xf>
    <xf numFmtId="11" fontId="28" fillId="2" borderId="1" xfId="0" applyNumberFormat="1" applyFont="1" applyFill="1" applyBorder="1" applyAlignment="1">
      <alignment horizontal="center" vertical="center"/>
    </xf>
    <xf numFmtId="49" fontId="37" fillId="0" borderId="1" xfId="2" applyNumberFormat="1" applyFont="1" applyBorder="1" applyAlignment="1">
      <alignment horizontal="center" vertical="center" wrapText="1"/>
    </xf>
    <xf numFmtId="0" fontId="28" fillId="0" borderId="1" xfId="0" applyFont="1" applyFill="1" applyBorder="1"/>
    <xf numFmtId="11" fontId="28" fillId="0" borderId="1" xfId="0" applyNumberFormat="1" applyFont="1" applyBorder="1" applyAlignment="1">
      <alignment horizontal="center" vertical="center"/>
    </xf>
    <xf numFmtId="49" fontId="37" fillId="0" borderId="1" xfId="2" applyNumberFormat="1" applyFont="1" applyFill="1" applyBorder="1" applyAlignment="1">
      <alignment horizontal="center" vertical="center" wrapText="1"/>
    </xf>
    <xf numFmtId="0" fontId="37" fillId="0" borderId="1" xfId="4" applyFont="1" applyFill="1" applyBorder="1" applyAlignment="1"/>
    <xf numFmtId="0" fontId="28" fillId="2" borderId="0" xfId="0" applyFont="1" applyFill="1" applyBorder="1" applyAlignment="1">
      <alignment horizontal="center" vertical="center"/>
    </xf>
    <xf numFmtId="0" fontId="37" fillId="2" borderId="0" xfId="0" applyFont="1" applyFill="1" applyBorder="1"/>
    <xf numFmtId="0" fontId="28" fillId="2" borderId="4" xfId="0" applyFont="1" applyFill="1" applyBorder="1" applyAlignment="1">
      <alignment horizontal="center" vertical="center"/>
    </xf>
    <xf numFmtId="0" fontId="28" fillId="2" borderId="1" xfId="0" applyFont="1" applyFill="1" applyBorder="1"/>
    <xf numFmtId="165" fontId="28" fillId="2" borderId="1" xfId="0" applyNumberFormat="1" applyFont="1" applyFill="1" applyBorder="1" applyAlignment="1">
      <alignment horizontal="center" vertical="center"/>
    </xf>
    <xf numFmtId="165" fontId="28" fillId="2" borderId="4" xfId="0" applyNumberFormat="1" applyFont="1" applyFill="1" applyBorder="1" applyAlignment="1">
      <alignment horizontal="center" vertical="center"/>
    </xf>
    <xf numFmtId="165" fontId="28" fillId="8" borderId="17" xfId="0" applyNumberFormat="1" applyFont="1" applyFill="1" applyBorder="1" applyAlignment="1">
      <alignment horizontal="center"/>
    </xf>
    <xf numFmtId="165" fontId="28" fillId="2" borderId="1" xfId="0" applyNumberFormat="1" applyFont="1" applyFill="1" applyBorder="1" applyAlignment="1">
      <alignment horizontal="center"/>
    </xf>
    <xf numFmtId="165" fontId="28" fillId="2" borderId="4" xfId="0" applyNumberFormat="1" applyFont="1" applyFill="1" applyBorder="1" applyAlignment="1">
      <alignment horizontal="center"/>
    </xf>
    <xf numFmtId="165" fontId="37" fillId="2" borderId="1" xfId="2" applyNumberFormat="1" applyFont="1" applyFill="1" applyBorder="1" applyAlignment="1">
      <alignment horizontal="center" vertical="center" wrapText="1"/>
    </xf>
    <xf numFmtId="165" fontId="28" fillId="8" borderId="16" xfId="0" applyNumberFormat="1" applyFont="1" applyFill="1" applyBorder="1" applyAlignment="1">
      <alignment horizontal="center"/>
    </xf>
    <xf numFmtId="2" fontId="28" fillId="2" borderId="0" xfId="0" applyNumberFormat="1" applyFont="1" applyFill="1" applyBorder="1" applyAlignment="1">
      <alignment horizontal="center"/>
    </xf>
    <xf numFmtId="0" fontId="28" fillId="2" borderId="0" xfId="0" applyFont="1" applyFill="1" applyBorder="1" applyAlignment="1">
      <alignment horizontal="center"/>
    </xf>
    <xf numFmtId="0" fontId="28" fillId="2" borderId="0" xfId="0" applyFont="1" applyFill="1" applyAlignment="1">
      <alignment horizontal="center" vertical="center"/>
    </xf>
    <xf numFmtId="0" fontId="28" fillId="2" borderId="0" xfId="0" applyFont="1" applyFill="1" applyAlignment="1">
      <alignment horizontal="center"/>
    </xf>
    <xf numFmtId="0" fontId="28" fillId="9" borderId="1" xfId="0" applyFont="1" applyFill="1" applyBorder="1" applyAlignment="1">
      <alignment horizontal="center"/>
    </xf>
    <xf numFmtId="2" fontId="28" fillId="9" borderId="1" xfId="0" applyNumberFormat="1" applyFont="1" applyFill="1" applyBorder="1" applyAlignment="1">
      <alignment horizontal="center"/>
    </xf>
    <xf numFmtId="0" fontId="28" fillId="10" borderId="1" xfId="0" applyFont="1" applyFill="1" applyBorder="1" applyAlignment="1">
      <alignment horizontal="center"/>
    </xf>
    <xf numFmtId="0" fontId="28" fillId="11" borderId="1" xfId="0" applyFont="1" applyFill="1" applyBorder="1" applyAlignment="1">
      <alignment horizontal="center"/>
    </xf>
    <xf numFmtId="2" fontId="28" fillId="2" borderId="1" xfId="0" applyNumberFormat="1" applyFont="1" applyFill="1" applyBorder="1" applyAlignment="1">
      <alignment horizontal="center" vertical="center"/>
    </xf>
    <xf numFmtId="2" fontId="28" fillId="2" borderId="4" xfId="0" applyNumberFormat="1" applyFont="1" applyFill="1" applyBorder="1" applyAlignment="1">
      <alignment horizontal="center" vertical="center"/>
    </xf>
    <xf numFmtId="0" fontId="39" fillId="2" borderId="0" xfId="0" applyFont="1" applyFill="1" applyBorder="1"/>
    <xf numFmtId="0" fontId="28" fillId="6" borderId="1" xfId="0" applyFont="1" applyFill="1" applyBorder="1" applyAlignment="1">
      <alignment horizontal="center" vertical="center"/>
    </xf>
    <xf numFmtId="0" fontId="34" fillId="0" borderId="1" xfId="0" applyFont="1" applyFill="1" applyBorder="1" applyAlignment="1">
      <alignment horizontal="center" vertical="center"/>
    </xf>
    <xf numFmtId="11" fontId="28" fillId="6"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0" fontId="28" fillId="0" borderId="1" xfId="0" applyFont="1" applyBorder="1"/>
    <xf numFmtId="49" fontId="28" fillId="0" borderId="1" xfId="0" applyNumberFormat="1" applyFont="1" applyFill="1" applyBorder="1" applyAlignment="1">
      <alignment horizontal="center" vertical="center"/>
    </xf>
    <xf numFmtId="0" fontId="28" fillId="0" borderId="0" xfId="0" applyFont="1" applyBorder="1"/>
    <xf numFmtId="49" fontId="37" fillId="0" borderId="0" xfId="2" applyNumberFormat="1" applyFont="1" applyBorder="1" applyAlignment="1">
      <alignment horizontal="center" vertical="center" wrapText="1"/>
    </xf>
    <xf numFmtId="11" fontId="28" fillId="2" borderId="0" xfId="0" applyNumberFormat="1" applyFont="1" applyFill="1" applyBorder="1" applyAlignment="1">
      <alignment horizontal="center" vertical="center"/>
    </xf>
    <xf numFmtId="2" fontId="34" fillId="2" borderId="0" xfId="0" applyNumberFormat="1" applyFont="1" applyFill="1" applyBorder="1" applyAlignment="1">
      <alignment horizontal="center" vertical="center"/>
    </xf>
    <xf numFmtId="49" fontId="37" fillId="2" borderId="0" xfId="2" applyNumberFormat="1" applyFont="1" applyFill="1" applyBorder="1" applyAlignment="1">
      <alignment horizontal="center" vertical="center" wrapText="1"/>
    </xf>
    <xf numFmtId="11" fontId="37" fillId="2" borderId="0" xfId="0" applyNumberFormat="1" applyFont="1" applyFill="1" applyBorder="1" applyAlignment="1">
      <alignment horizontal="center" vertical="center"/>
    </xf>
    <xf numFmtId="0" fontId="28" fillId="0" borderId="1" xfId="0" applyFont="1" applyBorder="1" applyAlignment="1">
      <alignment horizontal="center" vertical="center"/>
    </xf>
    <xf numFmtId="49" fontId="37" fillId="2" borderId="1" xfId="2" applyNumberFormat="1" applyFont="1" applyFill="1" applyBorder="1" applyAlignment="1">
      <alignment horizontal="center" vertical="center" wrapText="1"/>
    </xf>
    <xf numFmtId="0" fontId="28" fillId="2" borderId="0" xfId="0" applyFont="1" applyFill="1" applyBorder="1"/>
    <xf numFmtId="0" fontId="28" fillId="6" borderId="1" xfId="0" applyFont="1" applyFill="1" applyBorder="1" applyAlignment="1">
      <alignment horizontal="center"/>
    </xf>
    <xf numFmtId="0" fontId="34" fillId="2" borderId="0" xfId="0" quotePrefix="1" applyFont="1" applyFill="1" applyBorder="1" applyAlignment="1">
      <alignment vertical="center"/>
    </xf>
    <xf numFmtId="0" fontId="34" fillId="2" borderId="0" xfId="0" applyFont="1" applyFill="1" applyBorder="1" applyAlignment="1">
      <alignment vertical="center"/>
    </xf>
    <xf numFmtId="0" fontId="34" fillId="2" borderId="0" xfId="0" quotePrefix="1" applyFont="1" applyFill="1" applyBorder="1" applyAlignment="1">
      <alignment horizontal="left" vertical="center"/>
    </xf>
    <xf numFmtId="0" fontId="34" fillId="2" borderId="0" xfId="0" applyFont="1" applyFill="1" applyBorder="1" applyAlignment="1">
      <alignment horizontal="left" vertical="center"/>
    </xf>
    <xf numFmtId="0" fontId="28" fillId="2" borderId="3" xfId="0" applyFont="1" applyFill="1" applyBorder="1" applyAlignment="1">
      <alignment horizontal="center"/>
    </xf>
    <xf numFmtId="0" fontId="2" fillId="2" borderId="1" xfId="0" applyFont="1" applyFill="1" applyBorder="1" applyAlignment="1">
      <alignment horizontal="center"/>
    </xf>
    <xf numFmtId="0" fontId="28" fillId="2" borderId="1" xfId="0" applyFont="1" applyFill="1" applyBorder="1" applyAlignment="1">
      <alignment horizontal="center" vertical="center"/>
    </xf>
    <xf numFmtId="0" fontId="28" fillId="2" borderId="4" xfId="0" applyFont="1" applyFill="1" applyBorder="1" applyAlignment="1">
      <alignment horizontal="center" vertical="center"/>
    </xf>
    <xf numFmtId="49" fontId="2" fillId="0" borderId="4" xfId="2" applyNumberFormat="1" applyFont="1" applyFill="1" applyBorder="1" applyAlignment="1">
      <alignment horizontal="center" vertical="center" wrapText="1"/>
    </xf>
    <xf numFmtId="0" fontId="28" fillId="2" borderId="1" xfId="0" applyFont="1" applyFill="1" applyBorder="1" applyAlignment="1">
      <alignment horizontal="center"/>
    </xf>
    <xf numFmtId="0" fontId="28" fillId="2" borderId="0" xfId="0" applyFont="1" applyFill="1" applyAlignment="1"/>
    <xf numFmtId="2" fontId="28" fillId="3" borderId="25" xfId="0" applyNumberFormat="1" applyFont="1" applyFill="1" applyBorder="1" applyAlignment="1">
      <alignment horizontal="center"/>
    </xf>
    <xf numFmtId="0" fontId="28" fillId="2" borderId="26" xfId="0" applyFont="1" applyFill="1" applyBorder="1" applyAlignment="1">
      <alignment horizontal="center"/>
    </xf>
    <xf numFmtId="0" fontId="28" fillId="2" borderId="27" xfId="0" applyFont="1" applyFill="1" applyBorder="1" applyAlignment="1">
      <alignment horizontal="center"/>
    </xf>
    <xf numFmtId="0" fontId="28" fillId="2" borderId="28" xfId="0" applyFont="1" applyFill="1" applyBorder="1" applyAlignment="1">
      <alignment horizontal="center"/>
    </xf>
    <xf numFmtId="0" fontId="28" fillId="6" borderId="33" xfId="0" applyFont="1" applyFill="1" applyBorder="1" applyAlignment="1">
      <alignment horizontal="center" vertical="center" wrapText="1"/>
    </xf>
    <xf numFmtId="0" fontId="28" fillId="2" borderId="33" xfId="0" applyFont="1" applyFill="1" applyBorder="1" applyAlignment="1">
      <alignment horizontal="center" vertical="center"/>
    </xf>
    <xf numFmtId="2" fontId="28" fillId="2" borderId="35" xfId="0" applyNumberFormat="1" applyFont="1" applyFill="1" applyBorder="1" applyAlignment="1">
      <alignment horizontal="center" vertical="center"/>
    </xf>
    <xf numFmtId="0" fontId="28" fillId="2" borderId="36" xfId="0" applyFont="1" applyFill="1" applyBorder="1" applyAlignment="1">
      <alignment horizontal="center" vertical="center"/>
    </xf>
    <xf numFmtId="0" fontId="28" fillId="2" borderId="11" xfId="0" applyFont="1" applyFill="1" applyBorder="1" applyAlignment="1">
      <alignment horizontal="center"/>
    </xf>
    <xf numFmtId="0" fontId="28" fillId="2" borderId="0" xfId="0" applyFont="1" applyFill="1" applyBorder="1" applyAlignment="1">
      <alignment vertical="center"/>
    </xf>
    <xf numFmtId="0" fontId="28" fillId="2" borderId="0" xfId="0" quotePrefix="1" applyFont="1" applyFill="1" applyBorder="1" applyAlignment="1">
      <alignment vertical="center"/>
    </xf>
    <xf numFmtId="0" fontId="28" fillId="2" borderId="32" xfId="0" applyFont="1" applyFill="1" applyBorder="1" applyAlignment="1">
      <alignment horizontal="center" vertical="center"/>
    </xf>
    <xf numFmtId="0" fontId="28" fillId="2" borderId="34" xfId="0" applyFont="1" applyFill="1" applyBorder="1" applyAlignment="1">
      <alignment horizontal="center" vertical="center"/>
    </xf>
    <xf numFmtId="0" fontId="37" fillId="6" borderId="28" xfId="0" applyFont="1" applyFill="1" applyBorder="1" applyAlignment="1">
      <alignment horizontal="center" vertical="center"/>
    </xf>
    <xf numFmtId="0" fontId="28" fillId="2" borderId="32" xfId="0" applyFont="1" applyFill="1" applyBorder="1" applyAlignment="1">
      <alignment horizontal="center"/>
    </xf>
    <xf numFmtId="0" fontId="28" fillId="2" borderId="34" xfId="0" applyFont="1" applyFill="1" applyBorder="1" applyAlignment="1">
      <alignment horizontal="center"/>
    </xf>
    <xf numFmtId="2" fontId="28" fillId="2" borderId="40" xfId="0" applyNumberFormat="1" applyFont="1" applyFill="1" applyBorder="1" applyAlignment="1">
      <alignment horizontal="center" vertical="center"/>
    </xf>
    <xf numFmtId="0" fontId="28" fillId="3" borderId="22" xfId="0" applyFont="1" applyFill="1" applyBorder="1" applyAlignment="1">
      <alignment horizontal="center"/>
    </xf>
    <xf numFmtId="0" fontId="7" fillId="17" borderId="44" xfId="0" applyFont="1" applyFill="1" applyBorder="1" applyAlignment="1"/>
    <xf numFmtId="0" fontId="7" fillId="17" borderId="9" xfId="0" applyFont="1" applyFill="1" applyBorder="1" applyAlignment="1"/>
    <xf numFmtId="11" fontId="23" fillId="0" borderId="1" xfId="2" applyNumberFormat="1" applyFont="1" applyFill="1" applyBorder="1" applyAlignment="1">
      <alignment horizontal="center" vertical="center" wrapText="1"/>
    </xf>
    <xf numFmtId="0" fontId="6" fillId="2" borderId="0" xfId="0" applyFont="1" applyFill="1" applyAlignment="1">
      <alignment horizontal="right"/>
    </xf>
    <xf numFmtId="0" fontId="6" fillId="2" borderId="0" xfId="0" applyFont="1" applyFill="1" applyAlignment="1">
      <alignment horizontal="center" vertical="center"/>
    </xf>
    <xf numFmtId="0" fontId="20" fillId="0" borderId="1" xfId="0" applyFont="1" applyBorder="1" applyAlignment="1" applyProtection="1">
      <alignment horizontal="left" vertical="center"/>
      <protection locked="0"/>
    </xf>
    <xf numFmtId="49" fontId="2" fillId="0" borderId="1" xfId="2" applyNumberFormat="1" applyBorder="1" applyAlignment="1" applyProtection="1">
      <alignment horizontal="center" vertical="center" wrapText="1"/>
      <protection locked="0"/>
    </xf>
    <xf numFmtId="11" fontId="2" fillId="0" borderId="1" xfId="2" applyNumberFormat="1" applyBorder="1" applyAlignment="1" applyProtection="1">
      <alignment horizontal="center" vertical="center" wrapText="1"/>
      <protection locked="0"/>
    </xf>
    <xf numFmtId="0" fontId="2" fillId="0" borderId="1" xfId="2" applyBorder="1" applyAlignment="1" applyProtection="1">
      <alignment horizontal="center" vertical="center" wrapText="1"/>
      <protection locked="0"/>
    </xf>
    <xf numFmtId="166" fontId="15" fillId="0" borderId="1" xfId="2" applyNumberFormat="1" applyFont="1" applyBorder="1" applyAlignment="1" applyProtection="1">
      <alignment horizontal="center" vertical="center" wrapText="1"/>
      <protection locked="0"/>
    </xf>
    <xf numFmtId="165" fontId="8" fillId="17" borderId="1" xfId="0" applyNumberFormat="1" applyFont="1" applyFill="1" applyBorder="1" applyAlignment="1" applyProtection="1">
      <alignment horizontal="center" vertical="center"/>
      <protection locked="0"/>
    </xf>
    <xf numFmtId="0" fontId="8" fillId="17" borderId="2" xfId="0" applyFont="1" applyFill="1" applyBorder="1" applyAlignment="1" applyProtection="1">
      <alignment horizontal="center" vertical="center"/>
      <protection locked="0"/>
    </xf>
    <xf numFmtId="165" fontId="8" fillId="17" borderId="2" xfId="0" applyNumberFormat="1" applyFont="1" applyFill="1" applyBorder="1" applyAlignment="1" applyProtection="1">
      <alignment horizontal="center" vertical="center"/>
      <protection locked="0"/>
    </xf>
    <xf numFmtId="0" fontId="28" fillId="2" borderId="1" xfId="0" applyFont="1" applyFill="1" applyBorder="1" applyAlignment="1">
      <alignment horizontal="center" vertical="center"/>
    </xf>
    <xf numFmtId="0" fontId="5" fillId="0" borderId="1" xfId="0" applyFont="1" applyBorder="1" applyAlignment="1">
      <alignment horizontal="center" vertical="center"/>
    </xf>
    <xf numFmtId="0" fontId="47" fillId="0" borderId="0" xfId="2" applyFont="1" applyFill="1" applyAlignment="1">
      <alignment vertical="center" wrapText="1"/>
    </xf>
    <xf numFmtId="168" fontId="8" fillId="17" borderId="1" xfId="0" applyNumberFormat="1" applyFont="1" applyFill="1" applyBorder="1" applyAlignment="1" applyProtection="1">
      <alignment horizontal="center" vertical="center"/>
      <protection locked="0"/>
    </xf>
    <xf numFmtId="0" fontId="5" fillId="14" borderId="0" xfId="0" applyFont="1" applyFill="1" applyAlignment="1">
      <alignment horizontal="center"/>
    </xf>
    <xf numFmtId="0" fontId="11" fillId="2" borderId="1" xfId="0" applyFont="1" applyFill="1" applyBorder="1" applyAlignment="1">
      <alignment horizontal="center"/>
    </xf>
    <xf numFmtId="0" fontId="8" fillId="2" borderId="0" xfId="0" applyFont="1" applyFill="1" applyBorder="1" applyAlignment="1">
      <alignment horizontal="left" wrapText="1"/>
    </xf>
    <xf numFmtId="0" fontId="11" fillId="17" borderId="4" xfId="0" applyFont="1" applyFill="1" applyBorder="1" applyAlignment="1">
      <alignment horizontal="center"/>
    </xf>
    <xf numFmtId="0" fontId="11" fillId="17" borderId="5" xfId="0" applyFont="1" applyFill="1" applyBorder="1" applyAlignment="1">
      <alignment horizontal="center"/>
    </xf>
    <xf numFmtId="0" fontId="11" fillId="17" borderId="6" xfId="0" applyFont="1" applyFill="1" applyBorder="1" applyAlignment="1">
      <alignment horizontal="center"/>
    </xf>
    <xf numFmtId="0" fontId="5" fillId="0" borderId="1" xfId="0" applyFont="1" applyBorder="1" applyAlignment="1">
      <alignment horizontal="center" vertical="center"/>
    </xf>
    <xf numFmtId="0" fontId="7" fillId="2" borderId="1" xfId="0" applyFont="1" applyFill="1" applyBorder="1" applyAlignment="1">
      <alignment horizontal="left"/>
    </xf>
    <xf numFmtId="0" fontId="9" fillId="17" borderId="1" xfId="0" applyFont="1" applyFill="1" applyBorder="1" applyAlignment="1" applyProtection="1">
      <alignment horizontal="center" vertical="center"/>
      <protection locked="0"/>
    </xf>
    <xf numFmtId="0" fontId="8" fillId="17" borderId="1" xfId="0" applyFont="1" applyFill="1" applyBorder="1" applyAlignment="1" applyProtection="1">
      <alignment horizontal="left" vertical="center"/>
      <protection locked="0"/>
    </xf>
    <xf numFmtId="0" fontId="8" fillId="2" borderId="1" xfId="0" applyFont="1" applyFill="1" applyBorder="1" applyAlignment="1">
      <alignment horizontal="left" vertic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7" fillId="17" borderId="9" xfId="0" applyFont="1" applyFill="1" applyBorder="1" applyAlignment="1">
      <alignment horizontal="center"/>
    </xf>
    <xf numFmtId="0" fontId="5" fillId="2" borderId="7" xfId="0" applyFont="1" applyFill="1" applyBorder="1" applyAlignment="1">
      <alignment horizontal="left" wrapText="1"/>
    </xf>
    <xf numFmtId="0" fontId="5" fillId="2" borderId="9" xfId="0" applyFont="1" applyFill="1" applyBorder="1" applyAlignment="1">
      <alignment horizontal="left" wrapText="1"/>
    </xf>
    <xf numFmtId="0" fontId="9" fillId="17" borderId="4" xfId="0" applyFont="1" applyFill="1" applyBorder="1" applyAlignment="1" applyProtection="1">
      <alignment horizontal="center" vertical="center"/>
      <protection locked="0"/>
    </xf>
    <xf numFmtId="0" fontId="9" fillId="17" borderId="5" xfId="0" applyFont="1" applyFill="1" applyBorder="1" applyAlignment="1" applyProtection="1">
      <alignment horizontal="center" vertical="center"/>
      <protection locked="0"/>
    </xf>
    <xf numFmtId="0" fontId="9" fillId="17" borderId="6" xfId="0" applyFont="1" applyFill="1" applyBorder="1" applyAlignment="1" applyProtection="1">
      <alignment horizontal="center" vertical="center"/>
      <protection locked="0"/>
    </xf>
    <xf numFmtId="0" fontId="5" fillId="2" borderId="0" xfId="0" applyFont="1" applyFill="1" applyBorder="1" applyAlignment="1">
      <alignment horizontal="left" vertical="top" wrapText="1"/>
    </xf>
    <xf numFmtId="0" fontId="9" fillId="2" borderId="1" xfId="0" applyFont="1" applyFill="1" applyBorder="1" applyAlignment="1">
      <alignment horizontal="left"/>
    </xf>
    <xf numFmtId="0" fontId="9" fillId="2" borderId="0" xfId="0" applyFont="1" applyFill="1" applyBorder="1" applyAlignment="1">
      <alignment horizontal="left" vertical="center"/>
    </xf>
    <xf numFmtId="0" fontId="5" fillId="17" borderId="1" xfId="0" applyFont="1" applyFill="1" applyBorder="1" applyAlignment="1" applyProtection="1">
      <alignment horizontal="center"/>
      <protection locked="0"/>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7" fillId="2" borderId="7" xfId="0" applyFont="1" applyFill="1" applyBorder="1" applyAlignment="1">
      <alignment horizontal="left"/>
    </xf>
    <xf numFmtId="0" fontId="28" fillId="14" borderId="20" xfId="0" applyFont="1" applyFill="1" applyBorder="1" applyAlignment="1">
      <alignment horizontal="center" vertical="center" wrapText="1"/>
    </xf>
    <xf numFmtId="0" fontId="28" fillId="14" borderId="19" xfId="0" applyFont="1" applyFill="1" applyBorder="1" applyAlignment="1">
      <alignment horizontal="center" vertical="center"/>
    </xf>
    <xf numFmtId="0" fontId="28" fillId="14" borderId="25" xfId="0" applyFont="1" applyFill="1" applyBorder="1" applyAlignment="1">
      <alignment horizontal="center" vertical="center"/>
    </xf>
    <xf numFmtId="0" fontId="28" fillId="14" borderId="21" xfId="0" applyFont="1" applyFill="1" applyBorder="1" applyAlignment="1">
      <alignment horizontal="center" vertical="center"/>
    </xf>
    <xf numFmtId="0" fontId="28" fillId="16" borderId="0" xfId="0" applyFont="1" applyFill="1" applyAlignment="1">
      <alignment horizontal="center"/>
    </xf>
    <xf numFmtId="0" fontId="41" fillId="4" borderId="0" xfId="0" applyFont="1" applyFill="1" applyAlignment="1">
      <alignment horizontal="center" vertical="center"/>
    </xf>
    <xf numFmtId="0" fontId="41" fillId="15" borderId="37" xfId="0" applyFont="1" applyFill="1" applyBorder="1" applyAlignment="1">
      <alignment horizontal="center"/>
    </xf>
    <xf numFmtId="0" fontId="41" fillId="15" borderId="38" xfId="0" applyFont="1" applyFill="1" applyBorder="1" applyAlignment="1">
      <alignment horizontal="center"/>
    </xf>
    <xf numFmtId="0" fontId="28" fillId="2" borderId="3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41" fillId="15" borderId="29" xfId="0" applyFont="1" applyFill="1" applyBorder="1" applyAlignment="1">
      <alignment horizontal="center"/>
    </xf>
    <xf numFmtId="0" fontId="41" fillId="15" borderId="41" xfId="0" applyFont="1" applyFill="1" applyBorder="1" applyAlignment="1">
      <alignment horizontal="center"/>
    </xf>
    <xf numFmtId="0" fontId="41" fillId="15" borderId="30" xfId="0" applyFont="1" applyFill="1" applyBorder="1" applyAlignment="1">
      <alignment horizontal="center"/>
    </xf>
    <xf numFmtId="0" fontId="28" fillId="2" borderId="42"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6" xfId="0" applyFont="1" applyFill="1" applyBorder="1" applyAlignment="1">
      <alignment horizontal="center" vertical="center"/>
    </xf>
    <xf numFmtId="0" fontId="28" fillId="6" borderId="39"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8" fillId="6" borderId="24" xfId="0" applyFont="1" applyFill="1" applyBorder="1" applyAlignment="1">
      <alignment horizontal="center" vertical="center" wrapText="1"/>
    </xf>
    <xf numFmtId="0" fontId="28" fillId="13" borderId="13" xfId="0" applyFont="1" applyFill="1" applyBorder="1" applyAlignment="1">
      <alignment horizontal="center" vertical="center" wrapText="1"/>
    </xf>
    <xf numFmtId="0" fontId="28" fillId="13" borderId="14" xfId="0" applyFont="1" applyFill="1" applyBorder="1" applyAlignment="1">
      <alignment horizontal="center" vertical="center"/>
    </xf>
    <xf numFmtId="0" fontId="28" fillId="13" borderId="15" xfId="0" applyFont="1" applyFill="1" applyBorder="1" applyAlignment="1">
      <alignment horizontal="center" vertical="center"/>
    </xf>
    <xf numFmtId="0" fontId="34" fillId="2" borderId="0" xfId="0" quotePrefix="1" applyFont="1" applyFill="1" applyBorder="1" applyAlignment="1">
      <alignment horizontal="left" vertical="center"/>
    </xf>
    <xf numFmtId="0" fontId="34" fillId="2" borderId="0" xfId="0" applyFont="1" applyFill="1" applyBorder="1" applyAlignment="1">
      <alignment horizontal="left" vertical="center"/>
    </xf>
    <xf numFmtId="0" fontId="34" fillId="0" borderId="4" xfId="0" applyFont="1" applyBorder="1" applyAlignment="1">
      <alignment horizontal="center"/>
    </xf>
    <xf numFmtId="0" fontId="34" fillId="0" borderId="6" xfId="0" applyFont="1" applyBorder="1" applyAlignment="1">
      <alignment horizontal="center"/>
    </xf>
    <xf numFmtId="0" fontId="28" fillId="7" borderId="9" xfId="0" applyFont="1" applyFill="1" applyBorder="1" applyAlignment="1">
      <alignment horizontal="center"/>
    </xf>
    <xf numFmtId="0" fontId="39" fillId="12" borderId="0" xfId="0" applyFont="1" applyFill="1" applyAlignment="1">
      <alignment horizontal="center"/>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xf>
    <xf numFmtId="0" fontId="28" fillId="5" borderId="1"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41" fillId="15" borderId="29" xfId="0" applyFont="1" applyFill="1" applyBorder="1" applyAlignment="1">
      <alignment vertical="center"/>
    </xf>
    <xf numFmtId="0" fontId="41" fillId="15" borderId="30" xfId="0" applyFont="1" applyFill="1" applyBorder="1" applyAlignment="1">
      <alignment vertical="center"/>
    </xf>
    <xf numFmtId="0" fontId="28" fillId="0" borderId="1" xfId="0" applyFont="1" applyBorder="1" applyAlignment="1">
      <alignment horizontal="center" vertical="center"/>
    </xf>
    <xf numFmtId="0" fontId="49" fillId="0" borderId="0" xfId="6" applyFont="1" applyFill="1" applyAlignment="1">
      <alignment vertical="center"/>
    </xf>
  </cellXfs>
  <cellStyles count="7">
    <cellStyle name="Hyperlink" xfId="6" builtinId="8"/>
    <cellStyle name="Normal" xfId="0" builtinId="0"/>
    <cellStyle name="Normal 2" xfId="5"/>
    <cellStyle name="Normal 2 2" xfId="2"/>
    <cellStyle name="Normal 3" xfId="3"/>
    <cellStyle name="Normal_Feuil1" xfId="4"/>
    <cellStyle name="Percent" xfId="1" builtinId="5"/>
  </cellStyles>
  <dxfs count="7">
    <dxf>
      <fill>
        <patternFill patternType="darkGray"/>
      </fill>
    </dxf>
    <dxf>
      <fill>
        <patternFill patternType="darkGray"/>
      </fill>
    </dxf>
    <dxf>
      <fill>
        <patternFill patternType="darkGray"/>
      </fill>
    </dxf>
    <dxf>
      <fill>
        <patternFill patternType="darkGray"/>
      </fill>
    </dxf>
    <dxf>
      <fill>
        <patternFill patternType="darkGray"/>
      </fill>
    </dxf>
    <dxf>
      <font>
        <color auto="1"/>
      </font>
      <fill>
        <patternFill patternType="darkGray">
          <bgColor theme="0"/>
        </patternFill>
      </fill>
      <border>
        <left/>
        <right/>
        <top/>
        <bottom/>
        <vertical/>
        <horizontal/>
      </border>
    </dxf>
    <dxf>
      <font>
        <color auto="1"/>
      </font>
      <numFmt numFmtId="0" formatCode="General"/>
      <fill>
        <patternFill patternType="darkGray">
          <bgColor theme="0"/>
        </patternFill>
      </fill>
      <border>
        <left/>
        <right/>
        <top/>
        <bottom/>
      </border>
    </dxf>
  </dxfs>
  <tableStyles count="0" defaultTableStyle="TableStyleMedium2" defaultPivotStyle="PivotStyleLight16"/>
  <colors>
    <mruColors>
      <color rgb="FFB68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n.canada.ca/data/fr/dataset/6839cb7a-d2d4-4239-94e8-bf0aa3984a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tabSelected="1" zoomScaleNormal="100" workbookViewId="0">
      <selection activeCell="A3" sqref="A3"/>
    </sheetView>
  </sheetViews>
  <sheetFormatPr defaultColWidth="9.140625" defaultRowHeight="12.75"/>
  <cols>
    <col min="1" max="1" width="121.140625" style="129" customWidth="1"/>
    <col min="2" max="16384" width="9.140625" style="129"/>
  </cols>
  <sheetData>
    <row r="1" spans="1:1" s="127" customFormat="1" ht="15">
      <c r="A1" s="126"/>
    </row>
    <row r="2" spans="1:1" s="127" customFormat="1" ht="14.25"/>
    <row r="3" spans="1:1" s="127" customFormat="1" ht="18">
      <c r="A3" s="123" t="s">
        <v>126</v>
      </c>
    </row>
    <row r="4" spans="1:1" s="127" customFormat="1" ht="4.1500000000000004" customHeight="1"/>
    <row r="5" spans="1:1">
      <c r="A5" s="124" t="s">
        <v>127</v>
      </c>
    </row>
    <row r="6" spans="1:1" ht="4.1500000000000004" customHeight="1"/>
    <row r="7" spans="1:1" ht="58.5" customHeight="1">
      <c r="A7" s="125" t="s">
        <v>699</v>
      </c>
    </row>
    <row r="8" spans="1:1">
      <c r="A8" s="125"/>
    </row>
    <row r="9" spans="1:1">
      <c r="A9" s="124" t="s">
        <v>128</v>
      </c>
    </row>
    <row r="10" spans="1:1" ht="4.1500000000000004" customHeight="1"/>
    <row r="11" spans="1:1" ht="71.25" customHeight="1">
      <c r="A11" s="125" t="s">
        <v>714</v>
      </c>
    </row>
    <row r="12" spans="1:1" ht="3.6" customHeight="1">
      <c r="A12" s="125"/>
    </row>
    <row r="13" spans="1:1" ht="127.5">
      <c r="A13" s="125" t="s">
        <v>700</v>
      </c>
    </row>
    <row r="14" spans="1:1" ht="4.1500000000000004" customHeight="1"/>
    <row r="15" spans="1:1" ht="38.25">
      <c r="A15" s="135" t="s">
        <v>697</v>
      </c>
    </row>
    <row r="16" spans="1:1" ht="4.1500000000000004" customHeight="1"/>
    <row r="17" spans="1:1" ht="4.1500000000000004" customHeight="1">
      <c r="A17" s="128"/>
    </row>
    <row r="18" spans="1:1" ht="45.75" customHeight="1">
      <c r="A18" s="132" t="s">
        <v>731</v>
      </c>
    </row>
    <row r="19" spans="1:1" ht="3.6" customHeight="1"/>
    <row r="20" spans="1:1">
      <c r="A20" s="124" t="s">
        <v>129</v>
      </c>
    </row>
    <row r="21" spans="1:1" ht="4.1500000000000004" customHeight="1"/>
    <row r="22" spans="1:1" ht="30" customHeight="1">
      <c r="A22" s="133" t="s">
        <v>163</v>
      </c>
    </row>
    <row r="23" spans="1:1" s="127" customFormat="1" ht="27.6" customHeight="1">
      <c r="A23" s="241" t="s">
        <v>739</v>
      </c>
    </row>
    <row r="24" spans="1:1" s="127" customFormat="1" ht="21.6" customHeight="1">
      <c r="A24" s="310" t="s">
        <v>740</v>
      </c>
    </row>
    <row r="25" spans="1:1" ht="9" customHeight="1"/>
    <row r="26" spans="1:1">
      <c r="A26" s="124" t="s">
        <v>130</v>
      </c>
    </row>
    <row r="27" spans="1:1" ht="4.1500000000000004" customHeight="1"/>
    <row r="28" spans="1:1" ht="16.5" customHeight="1">
      <c r="A28" s="134" t="s">
        <v>166</v>
      </c>
    </row>
    <row r="29" spans="1:1" ht="4.1500000000000004" customHeight="1">
      <c r="A29" s="128"/>
    </row>
    <row r="30" spans="1:1" ht="60" customHeight="1">
      <c r="A30" s="133" t="s">
        <v>715</v>
      </c>
    </row>
    <row r="31" spans="1:1" ht="3.6" customHeight="1">
      <c r="A31" s="130"/>
    </row>
    <row r="32" spans="1:1" ht="77.25" customHeight="1">
      <c r="A32" s="135" t="s">
        <v>165</v>
      </c>
    </row>
    <row r="33" spans="1:1" ht="4.9000000000000004" customHeight="1"/>
    <row r="34" spans="1:1" ht="84.75">
      <c r="A34" s="133" t="s">
        <v>716</v>
      </c>
    </row>
    <row r="35" spans="1:1" ht="2.25" customHeight="1">
      <c r="A35" s="130"/>
    </row>
    <row r="36" spans="1:1" ht="42.75" customHeight="1">
      <c r="A36" s="136" t="s">
        <v>698</v>
      </c>
    </row>
    <row r="37" spans="1:1" ht="3.75" customHeight="1"/>
    <row r="38" spans="1:1" ht="44.25" customHeight="1">
      <c r="A38" s="125" t="s">
        <v>743</v>
      </c>
    </row>
  </sheetData>
  <sheetProtection password="CA53" sheet="1" objects="1" scenarios="1"/>
  <hyperlinks>
    <hyperlink ref="A24" r:id="rId1" display="https://open.canada.ca/data/fr/dataset/6839cb7a-d2d4-4239-94e8-bf0aa3984a36"/>
  </hyperlinks>
  <pageMargins left="0.62992125984251968" right="0.62992125984251968" top="0.59055118110236227" bottom="0.47244094488188981" header="0.31496062992125984" footer="0.31496062992125984"/>
  <pageSetup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zoomScale="115" zoomScaleNormal="115" workbookViewId="0">
      <selection activeCell="C4" sqref="C4:F4"/>
    </sheetView>
  </sheetViews>
  <sheetFormatPr defaultColWidth="9.140625" defaultRowHeight="12.75"/>
  <cols>
    <col min="1" max="1" width="27.85546875" style="1" customWidth="1"/>
    <col min="2" max="2" width="49.42578125" style="1" customWidth="1"/>
    <col min="3" max="3" width="18.5703125" style="1" customWidth="1"/>
    <col min="4" max="4" width="19.5703125" style="1" bestFit="1" customWidth="1"/>
    <col min="5" max="5" width="9.140625" style="1"/>
    <col min="6" max="6" width="9.140625" style="1" customWidth="1"/>
    <col min="7" max="7" width="9.140625" style="54" customWidth="1"/>
    <col min="8" max="8" width="9.140625" style="2"/>
    <col min="9" max="9" width="10" style="54" customWidth="1"/>
    <col min="10" max="10" width="9.140625" style="54"/>
    <col min="11" max="16384" width="9.140625" style="1"/>
  </cols>
  <sheetData>
    <row r="1" spans="1:8" ht="15" customHeight="1">
      <c r="B1" s="39" t="s">
        <v>101</v>
      </c>
    </row>
    <row r="2" spans="1:8" ht="15" customHeight="1">
      <c r="A2" s="5" t="s">
        <v>104</v>
      </c>
      <c r="B2" s="5" t="s">
        <v>50</v>
      </c>
      <c r="C2" s="4"/>
      <c r="D2" s="4"/>
      <c r="E2" s="4"/>
      <c r="F2" s="4"/>
      <c r="G2" s="3"/>
    </row>
    <row r="3" spans="1:8" ht="15" customHeight="1">
      <c r="A3" s="42" t="s">
        <v>106</v>
      </c>
      <c r="B3" s="4"/>
      <c r="C3" s="4"/>
      <c r="D3" s="4"/>
      <c r="E3" s="4"/>
      <c r="F3" s="4"/>
      <c r="G3" s="3"/>
    </row>
    <row r="4" spans="1:8" ht="15" customHeight="1">
      <c r="A4" s="250" t="s">
        <v>188</v>
      </c>
      <c r="B4" s="250"/>
      <c r="C4" s="251" t="s">
        <v>734</v>
      </c>
      <c r="D4" s="251"/>
      <c r="E4" s="251"/>
      <c r="F4" s="251"/>
      <c r="G4" s="3"/>
      <c r="H4" s="229" t="str">
        <f>IF(C4="Distillée","D","R")</f>
        <v>D</v>
      </c>
    </row>
    <row r="5" spans="1:8">
      <c r="A5" s="258" t="s">
        <v>107</v>
      </c>
      <c r="B5" s="258"/>
      <c r="C5" s="258"/>
      <c r="D5" s="4"/>
      <c r="E5" s="4"/>
      <c r="F5" s="4"/>
      <c r="G5" s="3"/>
    </row>
    <row r="6" spans="1:8">
      <c r="A6" s="259"/>
      <c r="B6" s="259"/>
      <c r="C6" s="259"/>
      <c r="D6" s="4"/>
      <c r="E6" s="4"/>
      <c r="F6" s="4"/>
      <c r="G6" s="3"/>
    </row>
    <row r="7" spans="1:8" ht="15" customHeight="1">
      <c r="A7" s="250" t="s">
        <v>51</v>
      </c>
      <c r="B7" s="250"/>
      <c r="C7" s="260" t="s">
        <v>730</v>
      </c>
      <c r="D7" s="261"/>
      <c r="E7" s="261"/>
      <c r="F7" s="262"/>
      <c r="G7" s="3"/>
      <c r="H7" s="2">
        <f>IF(C7="Mazout No.6",6,IF(C7="Mazout No.5",5,IF(C7="Mazout No.4",4)))</f>
        <v>4</v>
      </c>
    </row>
    <row r="8" spans="1:8" ht="15" customHeight="1">
      <c r="A8" s="5"/>
      <c r="B8" s="4"/>
      <c r="C8" s="4"/>
      <c r="D8" s="4"/>
      <c r="E8" s="4"/>
      <c r="F8" s="4"/>
      <c r="G8" s="3"/>
    </row>
    <row r="9" spans="1:8" ht="15" customHeight="1">
      <c r="A9" s="5" t="s">
        <v>144</v>
      </c>
      <c r="B9" s="5" t="s">
        <v>721</v>
      </c>
      <c r="C9" s="4"/>
      <c r="D9" s="4"/>
      <c r="E9" s="4"/>
      <c r="F9" s="4"/>
      <c r="G9" s="3"/>
      <c r="H9" s="14"/>
    </row>
    <row r="10" spans="1:8" ht="15" customHeight="1">
      <c r="A10" s="245" t="s">
        <v>722</v>
      </c>
      <c r="B10" s="245"/>
      <c r="C10" s="245"/>
      <c r="D10" s="245"/>
      <c r="E10" s="245"/>
      <c r="F10" s="245"/>
      <c r="G10" s="3"/>
      <c r="H10" s="14"/>
    </row>
    <row r="11" spans="1:8" ht="15" customHeight="1">
      <c r="A11" s="245"/>
      <c r="B11" s="245"/>
      <c r="C11" s="245"/>
      <c r="D11" s="245"/>
      <c r="E11" s="245"/>
      <c r="F11" s="245"/>
      <c r="G11" s="3"/>
      <c r="H11" s="14"/>
    </row>
    <row r="12" spans="1:8" ht="15" customHeight="1">
      <c r="A12" s="3" t="s">
        <v>701</v>
      </c>
      <c r="B12" s="3"/>
      <c r="C12" s="4"/>
      <c r="D12" s="4"/>
      <c r="E12" s="4"/>
      <c r="F12" s="4"/>
      <c r="G12" s="3"/>
      <c r="H12" s="14"/>
    </row>
    <row r="13" spans="1:8" ht="15" customHeight="1">
      <c r="A13" s="264" t="s">
        <v>720</v>
      </c>
      <c r="B13" s="264"/>
      <c r="C13" s="8" t="s">
        <v>102</v>
      </c>
      <c r="D13" s="4"/>
      <c r="E13" s="4"/>
      <c r="F13" s="4"/>
      <c r="G13" s="3"/>
      <c r="H13" s="14"/>
    </row>
    <row r="14" spans="1:8" ht="15" customHeight="1">
      <c r="A14" s="253" t="s">
        <v>2</v>
      </c>
      <c r="B14" s="253"/>
      <c r="C14" s="236"/>
      <c r="D14" s="4"/>
      <c r="E14" s="4"/>
      <c r="F14" s="4"/>
      <c r="G14" s="3"/>
      <c r="H14" s="14"/>
    </row>
    <row r="15" spans="1:8" ht="15" customHeight="1">
      <c r="A15" s="253" t="s">
        <v>3</v>
      </c>
      <c r="B15" s="253"/>
      <c r="C15" s="9">
        <v>39</v>
      </c>
      <c r="D15" s="4"/>
      <c r="E15" s="4"/>
      <c r="F15" s="4"/>
      <c r="G15" s="3"/>
      <c r="H15" s="14"/>
    </row>
    <row r="16" spans="1:8" ht="15" customHeight="1">
      <c r="A16" s="265" t="s">
        <v>4</v>
      </c>
      <c r="B16" s="265"/>
      <c r="C16" s="49">
        <f>IF(C14="",C15,C14)</f>
        <v>39</v>
      </c>
      <c r="D16" s="4"/>
      <c r="E16" s="4"/>
      <c r="F16" s="4"/>
      <c r="G16" s="3"/>
      <c r="H16" s="14"/>
    </row>
    <row r="17" spans="1:7" ht="15" customHeight="1">
      <c r="A17" s="5"/>
      <c r="B17" s="4"/>
      <c r="C17" s="4"/>
      <c r="D17" s="4"/>
      <c r="E17" s="4"/>
      <c r="F17" s="4"/>
      <c r="G17" s="3"/>
    </row>
    <row r="18" spans="1:7" ht="15" customHeight="1">
      <c r="A18" s="5" t="s">
        <v>105</v>
      </c>
      <c r="B18" s="5" t="s">
        <v>0</v>
      </c>
      <c r="C18" s="4"/>
      <c r="D18" s="4"/>
      <c r="E18" s="4"/>
      <c r="F18" s="4"/>
      <c r="G18" s="3"/>
    </row>
    <row r="19" spans="1:7" ht="15" customHeight="1">
      <c r="A19" s="3" t="s">
        <v>732</v>
      </c>
      <c r="B19" s="4"/>
      <c r="C19" s="4"/>
      <c r="D19" s="4"/>
      <c r="E19" s="4"/>
      <c r="F19" s="4"/>
      <c r="G19" s="3"/>
    </row>
    <row r="20" spans="1:7" ht="15" customHeight="1">
      <c r="A20" s="6" t="s">
        <v>108</v>
      </c>
      <c r="B20" s="6" t="s">
        <v>189</v>
      </c>
      <c r="C20" s="6" t="s">
        <v>702</v>
      </c>
      <c r="D20" s="6" t="s">
        <v>142</v>
      </c>
      <c r="E20" s="4"/>
      <c r="F20" s="4"/>
      <c r="G20" s="3"/>
    </row>
    <row r="21" spans="1:7" ht="15" customHeight="1">
      <c r="A21" s="7" t="s">
        <v>109</v>
      </c>
      <c r="B21" s="40"/>
      <c r="C21" s="27" t="s">
        <v>143</v>
      </c>
      <c r="D21" s="53" t="str">
        <f t="shared" ref="D21:D32" si="0">IFERROR(B21/$B$33,"")</f>
        <v/>
      </c>
      <c r="E21" s="4"/>
      <c r="F21" s="4"/>
      <c r="G21" s="3"/>
    </row>
    <row r="22" spans="1:7" ht="15" customHeight="1">
      <c r="A22" s="7" t="s">
        <v>110</v>
      </c>
      <c r="B22" s="40"/>
      <c r="C22" s="27" t="s">
        <v>190</v>
      </c>
      <c r="D22" s="53" t="str">
        <f t="shared" si="0"/>
        <v/>
      </c>
      <c r="E22" s="4"/>
      <c r="F22" s="4"/>
      <c r="G22" s="3"/>
    </row>
    <row r="23" spans="1:7" ht="15" customHeight="1">
      <c r="A23" s="7" t="s">
        <v>111</v>
      </c>
      <c r="B23" s="40"/>
      <c r="C23" s="27" t="s">
        <v>191</v>
      </c>
      <c r="D23" s="53" t="str">
        <f t="shared" si="0"/>
        <v/>
      </c>
      <c r="E23" s="4"/>
      <c r="F23" s="4"/>
      <c r="G23" s="3"/>
    </row>
    <row r="24" spans="1:7" ht="15" customHeight="1">
      <c r="A24" s="7" t="s">
        <v>112</v>
      </c>
      <c r="B24" s="40"/>
      <c r="C24" s="27" t="s">
        <v>192</v>
      </c>
      <c r="D24" s="53" t="str">
        <f t="shared" si="0"/>
        <v/>
      </c>
      <c r="E24" s="4"/>
      <c r="F24" s="4"/>
      <c r="G24" s="3"/>
    </row>
    <row r="25" spans="1:7" ht="15" customHeight="1">
      <c r="A25" s="7" t="s">
        <v>113</v>
      </c>
      <c r="B25" s="40"/>
      <c r="C25" s="27" t="s">
        <v>193</v>
      </c>
      <c r="D25" s="53" t="str">
        <f t="shared" si="0"/>
        <v/>
      </c>
      <c r="E25" s="4"/>
      <c r="F25" s="4"/>
      <c r="G25" s="3"/>
    </row>
    <row r="26" spans="1:7" ht="15" customHeight="1">
      <c r="A26" s="7" t="s">
        <v>114</v>
      </c>
      <c r="B26" s="40"/>
      <c r="C26" s="27" t="s">
        <v>194</v>
      </c>
      <c r="D26" s="53" t="str">
        <f t="shared" si="0"/>
        <v/>
      </c>
      <c r="E26" s="4"/>
      <c r="F26" s="4"/>
      <c r="G26" s="3"/>
    </row>
    <row r="27" spans="1:7" ht="15" customHeight="1">
      <c r="A27" s="7" t="s">
        <v>115</v>
      </c>
      <c r="B27" s="40"/>
      <c r="C27" s="27" t="s">
        <v>195</v>
      </c>
      <c r="D27" s="53" t="str">
        <f t="shared" si="0"/>
        <v/>
      </c>
      <c r="E27" s="4"/>
      <c r="F27" s="4"/>
      <c r="G27" s="3"/>
    </row>
    <row r="28" spans="1:7" ht="15" customHeight="1">
      <c r="A28" s="7" t="s">
        <v>116</v>
      </c>
      <c r="B28" s="40"/>
      <c r="C28" s="27" t="s">
        <v>196</v>
      </c>
      <c r="D28" s="53" t="str">
        <f t="shared" si="0"/>
        <v/>
      </c>
      <c r="E28" s="4"/>
      <c r="F28" s="4"/>
      <c r="G28" s="3"/>
    </row>
    <row r="29" spans="1:7" ht="15" customHeight="1">
      <c r="A29" s="7" t="s">
        <v>180</v>
      </c>
      <c r="B29" s="40"/>
      <c r="C29" s="27" t="s">
        <v>197</v>
      </c>
      <c r="D29" s="53" t="str">
        <f t="shared" si="0"/>
        <v/>
      </c>
      <c r="E29" s="4"/>
      <c r="F29" s="4"/>
      <c r="G29" s="3"/>
    </row>
    <row r="30" spans="1:7" ht="15" customHeight="1">
      <c r="A30" s="7" t="s">
        <v>117</v>
      </c>
      <c r="B30" s="40"/>
      <c r="C30" s="27" t="s">
        <v>198</v>
      </c>
      <c r="D30" s="53" t="str">
        <f t="shared" si="0"/>
        <v/>
      </c>
      <c r="E30" s="4"/>
      <c r="F30" s="4"/>
      <c r="G30" s="3"/>
    </row>
    <row r="31" spans="1:7" ht="15" customHeight="1">
      <c r="A31" s="7" t="s">
        <v>118</v>
      </c>
      <c r="B31" s="40"/>
      <c r="C31" s="27" t="s">
        <v>199</v>
      </c>
      <c r="D31" s="53" t="str">
        <f t="shared" si="0"/>
        <v/>
      </c>
      <c r="E31" s="4"/>
      <c r="F31" s="4"/>
      <c r="G31" s="3"/>
    </row>
    <row r="32" spans="1:7" ht="15" customHeight="1">
      <c r="A32" s="43" t="s">
        <v>119</v>
      </c>
      <c r="B32" s="41"/>
      <c r="C32" s="27" t="s">
        <v>200</v>
      </c>
      <c r="D32" s="53" t="str">
        <f t="shared" si="0"/>
        <v/>
      </c>
      <c r="E32" s="4"/>
      <c r="F32" s="4"/>
      <c r="G32" s="3"/>
    </row>
    <row r="33" spans="1:10" ht="15" customHeight="1">
      <c r="A33" s="6" t="s">
        <v>1</v>
      </c>
      <c r="B33" s="44">
        <f>SUM($B$21:$B$32)</f>
        <v>0</v>
      </c>
      <c r="C33" s="27" t="s">
        <v>201</v>
      </c>
      <c r="D33" s="4"/>
      <c r="E33" s="4"/>
      <c r="F33" s="4"/>
      <c r="G33" s="3"/>
    </row>
    <row r="34" spans="1:10" ht="15" customHeight="1">
      <c r="A34" s="4"/>
      <c r="B34" s="4"/>
      <c r="C34" s="4"/>
      <c r="D34" s="4"/>
      <c r="E34" s="4"/>
      <c r="F34" s="4"/>
      <c r="G34" s="3"/>
    </row>
    <row r="35" spans="1:10" ht="15" customHeight="1">
      <c r="A35" s="5" t="s">
        <v>157</v>
      </c>
      <c r="B35" s="5" t="s">
        <v>18</v>
      </c>
      <c r="C35" s="4"/>
      <c r="D35" s="4"/>
      <c r="E35" s="4"/>
      <c r="F35" s="4"/>
      <c r="G35" s="3"/>
    </row>
    <row r="36" spans="1:10" ht="15" customHeight="1">
      <c r="A36" s="4" t="s">
        <v>124</v>
      </c>
      <c r="B36" s="4"/>
      <c r="C36" s="4"/>
      <c r="D36" s="4"/>
      <c r="E36" s="4"/>
      <c r="F36" s="4"/>
      <c r="G36" s="3"/>
    </row>
    <row r="37" spans="1:10" ht="15" customHeight="1">
      <c r="A37" s="250" t="s">
        <v>202</v>
      </c>
      <c r="B37" s="250"/>
      <c r="C37" s="251" t="s">
        <v>735</v>
      </c>
      <c r="D37" s="251"/>
      <c r="E37" s="251"/>
      <c r="F37" s="251"/>
      <c r="G37" s="55"/>
      <c r="H37" s="230" t="str">
        <f>IF(C37="Industriel","I",IF(C37="Centrale électrique","U","C"))</f>
        <v>I</v>
      </c>
    </row>
    <row r="39" spans="1:10" ht="15" customHeight="1">
      <c r="A39" s="5" t="s">
        <v>121</v>
      </c>
      <c r="B39" s="5" t="s">
        <v>5</v>
      </c>
      <c r="C39" s="4"/>
      <c r="D39" s="4"/>
      <c r="E39" s="4"/>
      <c r="F39" s="4"/>
      <c r="G39" s="3"/>
    </row>
    <row r="40" spans="1:10" ht="15" customHeight="1">
      <c r="A40" s="263" t="s">
        <v>181</v>
      </c>
      <c r="B40" s="263"/>
      <c r="C40" s="263"/>
      <c r="D40" s="263"/>
      <c r="E40" s="263"/>
      <c r="F40" s="263"/>
      <c r="G40" s="263"/>
    </row>
    <row r="41" spans="1:10" ht="15" customHeight="1">
      <c r="A41" s="263"/>
      <c r="B41" s="263"/>
      <c r="C41" s="263"/>
      <c r="D41" s="263"/>
      <c r="E41" s="263"/>
      <c r="F41" s="263"/>
      <c r="G41" s="263"/>
    </row>
    <row r="42" spans="1:10" ht="15" customHeight="1">
      <c r="A42" s="10" t="s">
        <v>6</v>
      </c>
      <c r="B42" s="266" t="s">
        <v>733</v>
      </c>
      <c r="C42" s="266"/>
      <c r="D42" s="11"/>
      <c r="E42" s="4"/>
      <c r="F42" s="4"/>
      <c r="G42" s="3"/>
      <c r="H42" s="14"/>
    </row>
    <row r="43" spans="1:10" ht="15" customHeight="1">
      <c r="A43" s="10" t="s">
        <v>7</v>
      </c>
      <c r="B43" s="266" t="s">
        <v>747</v>
      </c>
      <c r="C43" s="266"/>
      <c r="D43" s="11"/>
      <c r="E43" s="4"/>
      <c r="F43" s="4"/>
      <c r="G43" s="3"/>
    </row>
    <row r="44" spans="1:10" s="4" customFormat="1" ht="15" customHeight="1">
      <c r="A44" s="12"/>
      <c r="B44" s="12"/>
      <c r="C44" s="13"/>
      <c r="D44" s="13"/>
      <c r="G44" s="3"/>
      <c r="H44" s="14"/>
      <c r="I44" s="3"/>
      <c r="J44" s="3"/>
    </row>
    <row r="45" spans="1:10" ht="15" customHeight="1">
      <c r="A45" s="15" t="s">
        <v>8</v>
      </c>
      <c r="B45" s="45"/>
      <c r="C45" s="46"/>
      <c r="D45" s="242"/>
      <c r="E45" s="4"/>
      <c r="F45" s="4"/>
      <c r="G45" s="3"/>
    </row>
    <row r="46" spans="1:10" ht="15" customHeight="1">
      <c r="A46" s="267" t="s">
        <v>9</v>
      </c>
      <c r="B46" s="268"/>
      <c r="C46" s="269"/>
      <c r="D46" s="121">
        <f>INDEX(C86:G89,MATCH(B43,B86:B89,0),MATCH(B42,C85:G85,0))</f>
        <v>4.6999999999999999E-4</v>
      </c>
      <c r="E46" s="4"/>
      <c r="F46" s="4"/>
      <c r="G46" s="3"/>
    </row>
    <row r="47" spans="1:10" ht="15" customHeight="1">
      <c r="A47" s="270" t="s">
        <v>10</v>
      </c>
      <c r="B47" s="270"/>
      <c r="C47" s="270"/>
      <c r="D47" s="122">
        <f>IF(D45="",D46,D45)</f>
        <v>4.6999999999999999E-4</v>
      </c>
      <c r="E47" s="4"/>
      <c r="F47" s="4"/>
      <c r="G47" s="3"/>
    </row>
    <row r="48" spans="1:10" ht="15" customHeight="1"/>
    <row r="49" spans="1:9" ht="15" customHeight="1">
      <c r="A49" s="5" t="s">
        <v>122</v>
      </c>
      <c r="B49" s="5" t="s">
        <v>123</v>
      </c>
      <c r="C49" s="4"/>
      <c r="D49" s="4"/>
      <c r="E49" s="4"/>
      <c r="F49" s="4"/>
      <c r="G49" s="3"/>
    </row>
    <row r="50" spans="1:9">
      <c r="A50" s="263" t="s">
        <v>125</v>
      </c>
      <c r="B50" s="263"/>
      <c r="C50" s="263"/>
      <c r="D50" s="263"/>
      <c r="E50" s="263"/>
      <c r="F50" s="263"/>
      <c r="G50" s="263"/>
      <c r="H50" s="263"/>
      <c r="I50" s="263"/>
    </row>
    <row r="51" spans="1:9" ht="16.899999999999999" customHeight="1">
      <c r="A51" s="263" t="s">
        <v>164</v>
      </c>
      <c r="B51" s="263"/>
      <c r="C51" s="263"/>
      <c r="D51" s="263"/>
      <c r="E51" s="263"/>
      <c r="F51" s="263"/>
      <c r="G51" s="263"/>
      <c r="H51" s="263"/>
      <c r="I51" s="131"/>
    </row>
    <row r="52" spans="1:9" ht="14.25">
      <c r="A52" s="16" t="s">
        <v>703</v>
      </c>
      <c r="B52" s="4"/>
      <c r="C52" s="4"/>
      <c r="D52" s="4"/>
      <c r="E52" s="4"/>
      <c r="F52" s="4"/>
      <c r="G52" s="3"/>
    </row>
    <row r="53" spans="1:9" ht="15" customHeight="1">
      <c r="A53" s="252" t="s">
        <v>83</v>
      </c>
      <c r="B53" s="252"/>
      <c r="C53" s="252"/>
      <c r="D53" s="47">
        <f>INDEX(F95:G102,MATCH(A53,B95:B102,0),MATCH(H4,F94:G94,0))</f>
        <v>0</v>
      </c>
      <c r="E53" s="4"/>
      <c r="F53" s="4"/>
      <c r="G53" s="3"/>
    </row>
    <row r="54" spans="1:9" ht="15" customHeight="1">
      <c r="A54" s="253" t="s">
        <v>120</v>
      </c>
      <c r="B54" s="253"/>
      <c r="C54" s="253"/>
      <c r="D54" s="236"/>
      <c r="E54" s="4"/>
      <c r="F54" s="4"/>
      <c r="G54" s="3"/>
    </row>
    <row r="55" spans="1:9" ht="15" customHeight="1">
      <c r="A55" s="4"/>
      <c r="B55" s="4"/>
      <c r="C55" s="4"/>
      <c r="D55" s="47">
        <f>IF(D54="",D53,D54)</f>
        <v>0</v>
      </c>
      <c r="E55" s="4"/>
      <c r="F55" s="4"/>
      <c r="G55" s="3"/>
    </row>
    <row r="56" spans="1:9" ht="15" customHeight="1">
      <c r="A56" s="16" t="s">
        <v>103</v>
      </c>
      <c r="B56" s="4"/>
      <c r="C56" s="4"/>
      <c r="D56" s="48"/>
      <c r="E56" s="4"/>
      <c r="F56" s="4"/>
      <c r="G56" s="3"/>
    </row>
    <row r="57" spans="1:9" ht="15" customHeight="1">
      <c r="A57" s="252" t="s">
        <v>203</v>
      </c>
      <c r="B57" s="252"/>
      <c r="C57" s="252"/>
      <c r="D57" s="47">
        <f>INDEX(F106:G110,MATCH(A57,B106:B110,0),MATCH(H4,F105:G105,0))</f>
        <v>0</v>
      </c>
      <c r="E57" s="4"/>
      <c r="F57" s="4"/>
      <c r="G57" s="3"/>
    </row>
    <row r="58" spans="1:9" ht="15" customHeight="1">
      <c r="A58" s="253" t="s">
        <v>204</v>
      </c>
      <c r="B58" s="253"/>
      <c r="C58" s="253"/>
      <c r="D58" s="238"/>
      <c r="E58" s="4"/>
      <c r="F58" s="4"/>
      <c r="G58" s="3"/>
    </row>
    <row r="59" spans="1:9" ht="15" customHeight="1">
      <c r="A59" s="4"/>
      <c r="B59" s="4"/>
      <c r="C59" s="4"/>
      <c r="D59" s="47">
        <f>IF(D58="",D57,D58)</f>
        <v>0</v>
      </c>
      <c r="E59" s="4"/>
      <c r="F59" s="4"/>
      <c r="G59" s="3"/>
    </row>
    <row r="60" spans="1:9" ht="15" customHeight="1">
      <c r="A60" s="16" t="s">
        <v>95</v>
      </c>
      <c r="B60" s="4"/>
      <c r="C60" s="4"/>
      <c r="D60" s="48"/>
      <c r="E60" s="4"/>
      <c r="F60" s="4"/>
      <c r="G60" s="3"/>
    </row>
    <row r="61" spans="1:9" ht="15" customHeight="1">
      <c r="A61" s="252" t="s">
        <v>205</v>
      </c>
      <c r="B61" s="252"/>
      <c r="C61" s="252"/>
      <c r="D61" s="47">
        <f>INDEX(F114:G115,MATCH(A61,B114:B115,0),MATCH(H4,F113:G113,0))</f>
        <v>0</v>
      </c>
      <c r="E61" s="4"/>
      <c r="F61" s="4"/>
      <c r="G61" s="3"/>
    </row>
    <row r="62" spans="1:9" ht="15" customHeight="1">
      <c r="A62" s="253" t="s">
        <v>206</v>
      </c>
      <c r="B62" s="253"/>
      <c r="C62" s="253"/>
      <c r="D62" s="238"/>
      <c r="E62" s="4"/>
      <c r="F62" s="4"/>
      <c r="G62" s="3"/>
    </row>
    <row r="63" spans="1:9" ht="15" customHeight="1">
      <c r="A63" s="4"/>
      <c r="B63" s="4"/>
      <c r="C63" s="4"/>
      <c r="D63" s="47">
        <f>IF(D62="",D61,D62)</f>
        <v>0</v>
      </c>
      <c r="E63" s="4"/>
      <c r="F63" s="4"/>
      <c r="G63" s="3"/>
    </row>
    <row r="64" spans="1:9" ht="15" customHeight="1">
      <c r="A64" s="16" t="s">
        <v>96</v>
      </c>
      <c r="B64" s="4"/>
      <c r="C64" s="4"/>
      <c r="D64" s="48"/>
      <c r="E64" s="4"/>
      <c r="F64" s="4"/>
      <c r="G64" s="3"/>
    </row>
    <row r="65" spans="1:7" ht="15" customHeight="1">
      <c r="A65" s="252" t="s">
        <v>207</v>
      </c>
      <c r="B65" s="252"/>
      <c r="C65" s="252"/>
      <c r="D65" s="27">
        <f>IF(H4="D",0,E126)</f>
        <v>0</v>
      </c>
      <c r="E65" s="4"/>
      <c r="F65" s="4"/>
      <c r="G65" s="3"/>
    </row>
    <row r="66" spans="1:7" ht="15" customHeight="1">
      <c r="A66" s="253" t="s">
        <v>208</v>
      </c>
      <c r="B66" s="253"/>
      <c r="C66" s="253"/>
      <c r="D66" s="237"/>
      <c r="E66" s="4"/>
      <c r="F66" s="4"/>
      <c r="G66" s="3"/>
    </row>
    <row r="67" spans="1:7" ht="15" customHeight="1">
      <c r="A67" s="4"/>
      <c r="B67" s="4"/>
      <c r="C67" s="4"/>
      <c r="D67" s="27">
        <f>IF(D66="",D65,D66)</f>
        <v>0</v>
      </c>
      <c r="E67" s="4"/>
      <c r="F67" s="4"/>
      <c r="G67" s="3"/>
    </row>
    <row r="68" spans="1:7" ht="15" customHeight="1">
      <c r="A68" s="4"/>
      <c r="B68" s="4"/>
      <c r="C68" s="4"/>
      <c r="D68" s="4"/>
      <c r="E68" s="4"/>
      <c r="F68" s="4"/>
      <c r="G68" s="3"/>
    </row>
    <row r="69" spans="1:7">
      <c r="A69" s="4"/>
      <c r="B69" s="4"/>
      <c r="C69" s="4"/>
      <c r="D69" s="4"/>
    </row>
    <row r="70" spans="1:7">
      <c r="A70" s="4"/>
      <c r="B70" s="4"/>
      <c r="C70" s="4"/>
      <c r="D70" s="4"/>
    </row>
    <row r="71" spans="1:7">
      <c r="A71" s="4"/>
      <c r="B71" s="4"/>
      <c r="C71" s="4"/>
      <c r="D71" s="4"/>
    </row>
    <row r="72" spans="1:7">
      <c r="A72" s="4"/>
      <c r="B72" s="4"/>
      <c r="C72" s="4"/>
      <c r="D72" s="4"/>
    </row>
    <row r="73" spans="1:7">
      <c r="A73" s="4"/>
      <c r="B73" s="4"/>
      <c r="C73" s="4"/>
      <c r="D73" s="4"/>
    </row>
    <row r="74" spans="1:7">
      <c r="A74" s="4"/>
      <c r="B74" s="4"/>
      <c r="C74" s="4"/>
      <c r="D74" s="4"/>
    </row>
    <row r="75" spans="1:7">
      <c r="A75" s="4"/>
      <c r="B75" s="4"/>
      <c r="C75" s="4"/>
      <c r="D75" s="4"/>
    </row>
    <row r="76" spans="1:7">
      <c r="A76" s="4"/>
      <c r="B76" s="4"/>
      <c r="C76" s="4"/>
      <c r="D76" s="4"/>
    </row>
    <row r="77" spans="1:7">
      <c r="A77" s="4"/>
      <c r="B77" s="4"/>
      <c r="C77" s="4"/>
      <c r="D77" s="4"/>
    </row>
    <row r="78" spans="1:7" ht="11.45" customHeight="1"/>
    <row r="79" spans="1:7" ht="11.45" hidden="1" customHeight="1"/>
    <row r="80" spans="1:7" ht="11.45" hidden="1" customHeight="1"/>
    <row r="81" spans="2:7" ht="11.45" hidden="1" customHeight="1"/>
    <row r="82" spans="2:7" ht="11.45" hidden="1" customHeight="1"/>
    <row r="83" spans="2:7" ht="11.45" hidden="1" customHeight="1">
      <c r="B83" s="243" t="s">
        <v>71</v>
      </c>
      <c r="C83" s="243"/>
      <c r="D83" s="243"/>
      <c r="E83" s="243"/>
      <c r="F83" s="243"/>
      <c r="G83" s="243"/>
    </row>
    <row r="84" spans="2:7" ht="11.45" hidden="1" customHeight="1">
      <c r="B84" s="249" t="s">
        <v>11</v>
      </c>
      <c r="C84" s="17" t="s">
        <v>738</v>
      </c>
      <c r="D84" s="18"/>
      <c r="E84" s="18"/>
      <c r="F84" s="18"/>
      <c r="G84" s="56"/>
    </row>
    <row r="85" spans="2:7" ht="11.45" hidden="1" customHeight="1">
      <c r="B85" s="249"/>
      <c r="C85" s="18" t="s">
        <v>209</v>
      </c>
      <c r="D85" s="18" t="s">
        <v>12</v>
      </c>
      <c r="E85" s="18" t="s">
        <v>13</v>
      </c>
      <c r="F85" s="18" t="s">
        <v>14</v>
      </c>
      <c r="G85" s="56" t="s">
        <v>15</v>
      </c>
    </row>
    <row r="86" spans="2:7" ht="11.45" hidden="1" customHeight="1">
      <c r="B86" s="19" t="s">
        <v>17</v>
      </c>
      <c r="C86" s="240">
        <v>0.10516</v>
      </c>
      <c r="D86" s="240">
        <v>0.12934000000000001</v>
      </c>
      <c r="E86" s="240">
        <v>7.6649999999999996E-2</v>
      </c>
      <c r="F86" s="240">
        <v>0.20211000000000001</v>
      </c>
      <c r="G86" s="56">
        <v>0.13325000000000001</v>
      </c>
    </row>
    <row r="87" spans="2:7" ht="11.45" hidden="1" customHeight="1">
      <c r="B87" s="19" t="s">
        <v>49</v>
      </c>
      <c r="C87" s="240">
        <v>1.46289</v>
      </c>
      <c r="D87" s="240">
        <v>1.5203100000000001</v>
      </c>
      <c r="E87" s="240">
        <v>1.0559400000000001</v>
      </c>
      <c r="F87" s="240">
        <v>1.9132899999999999</v>
      </c>
      <c r="G87" s="56">
        <v>1.5860700000000001</v>
      </c>
    </row>
    <row r="88" spans="2:7" ht="11.45" hidden="1" customHeight="1">
      <c r="B88" s="19" t="s">
        <v>210</v>
      </c>
      <c r="C88" s="240">
        <v>4.6999999999999999E-4</v>
      </c>
      <c r="D88" s="240">
        <v>5.4000000000000001E-4</v>
      </c>
      <c r="E88" s="240">
        <v>4.2000000000000002E-4</v>
      </c>
      <c r="F88" s="240">
        <v>5.1999999999999995E-4</v>
      </c>
      <c r="G88" s="56">
        <v>4.8999999999999998E-4</v>
      </c>
    </row>
    <row r="89" spans="2:7" ht="11.45" hidden="1" customHeight="1">
      <c r="B89" s="19" t="s">
        <v>16</v>
      </c>
      <c r="C89" s="240">
        <v>3.124E-2</v>
      </c>
      <c r="D89" s="240">
        <v>1.9529999999999999E-2</v>
      </c>
      <c r="E89" s="240">
        <v>1.6140000000000002E-2</v>
      </c>
      <c r="F89" s="240">
        <v>3.499E-2</v>
      </c>
      <c r="G89" s="56">
        <v>2.3060000000000001E-2</v>
      </c>
    </row>
    <row r="90" spans="2:7" ht="11.45" hidden="1" customHeight="1"/>
    <row r="91" spans="2:7" ht="11.45" hidden="1" customHeight="1"/>
    <row r="92" spans="2:7" ht="11.45" hidden="1" customHeight="1">
      <c r="B92" s="243" t="s">
        <v>93</v>
      </c>
      <c r="C92" s="243"/>
      <c r="D92" s="243"/>
      <c r="E92" s="243"/>
      <c r="F92" s="243"/>
      <c r="G92" s="243"/>
    </row>
    <row r="93" spans="2:7" ht="11.45" hidden="1" customHeight="1">
      <c r="B93" s="257" t="s">
        <v>73</v>
      </c>
      <c r="C93" s="257"/>
      <c r="D93" s="257"/>
      <c r="E93" s="257"/>
      <c r="F93" s="20" t="s">
        <v>89</v>
      </c>
      <c r="G93" s="57"/>
    </row>
    <row r="94" spans="2:7" ht="11.45" hidden="1" customHeight="1">
      <c r="B94" s="244" t="s">
        <v>91</v>
      </c>
      <c r="C94" s="244"/>
      <c r="D94" s="244"/>
      <c r="E94" s="244"/>
      <c r="F94" s="21" t="s">
        <v>88</v>
      </c>
      <c r="G94" s="8" t="s">
        <v>90</v>
      </c>
    </row>
    <row r="95" spans="2:7" ht="11.45" hidden="1" customHeight="1">
      <c r="B95" s="23" t="s">
        <v>211</v>
      </c>
      <c r="C95" s="24"/>
      <c r="D95" s="24"/>
      <c r="E95" s="25"/>
      <c r="F95" s="26">
        <v>0</v>
      </c>
      <c r="G95" s="58">
        <v>0</v>
      </c>
    </row>
    <row r="96" spans="2:7" ht="11.45" hidden="1" customHeight="1">
      <c r="B96" s="23" t="s">
        <v>74</v>
      </c>
      <c r="C96" s="24"/>
      <c r="D96" s="24"/>
      <c r="E96" s="25"/>
      <c r="F96" s="28">
        <f>AVERAGE(0,24)</f>
        <v>12</v>
      </c>
      <c r="G96" s="59">
        <f>AVERAGE(0,28)</f>
        <v>14</v>
      </c>
    </row>
    <row r="97" spans="2:7" ht="11.45" hidden="1" customHeight="1">
      <c r="B97" s="23" t="s">
        <v>76</v>
      </c>
      <c r="C97" s="24"/>
      <c r="D97" s="24"/>
      <c r="E97" s="25"/>
      <c r="F97" s="28">
        <f>AVERAGE(20,50)</f>
        <v>35</v>
      </c>
      <c r="G97" s="59">
        <f>AVERAGE(20,50)</f>
        <v>35</v>
      </c>
    </row>
    <row r="98" spans="2:7" ht="11.45" hidden="1" customHeight="1">
      <c r="B98" s="23" t="s">
        <v>75</v>
      </c>
      <c r="C98" s="24"/>
      <c r="D98" s="24"/>
      <c r="E98" s="25"/>
      <c r="F98" s="28">
        <f>AVERAGE(17,44)</f>
        <v>30.5</v>
      </c>
      <c r="G98" s="59">
        <f>AVERAGE(20,50)</f>
        <v>35</v>
      </c>
    </row>
    <row r="99" spans="2:7" ht="11.45" hidden="1" customHeight="1">
      <c r="B99" s="23" t="s">
        <v>78</v>
      </c>
      <c r="C99" s="24"/>
      <c r="D99" s="24"/>
      <c r="E99" s="25"/>
      <c r="F99" s="29">
        <f>AVERAGE(58,73)</f>
        <v>65.5</v>
      </c>
      <c r="G99" s="59">
        <f>AVERAGE(15,30)</f>
        <v>22.5</v>
      </c>
    </row>
    <row r="100" spans="2:7" ht="11.45" hidden="1" customHeight="1">
      <c r="B100" s="23" t="s">
        <v>161</v>
      </c>
      <c r="C100" s="24"/>
      <c r="D100" s="24"/>
      <c r="E100" s="25"/>
      <c r="F100" s="29">
        <f>AVERAGE(73,77)</f>
        <v>75</v>
      </c>
      <c r="G100" s="59">
        <f>AVERAGE(25,53)</f>
        <v>39</v>
      </c>
    </row>
    <row r="101" spans="2:7" ht="11.45" hidden="1" customHeight="1">
      <c r="B101" s="23" t="s">
        <v>77</v>
      </c>
      <c r="C101" s="24"/>
      <c r="D101" s="24"/>
      <c r="E101" s="25"/>
      <c r="F101" s="29">
        <f>AVERAGE(40,70)</f>
        <v>55</v>
      </c>
      <c r="G101" s="59">
        <f>AVERAGE(40,70)</f>
        <v>55</v>
      </c>
    </row>
    <row r="102" spans="2:7" ht="11.45" hidden="1" customHeight="1">
      <c r="B102" s="30" t="s">
        <v>84</v>
      </c>
      <c r="C102" s="31"/>
      <c r="D102" s="31"/>
      <c r="E102" s="32"/>
      <c r="F102" s="28">
        <v>0</v>
      </c>
      <c r="G102" s="59">
        <f>AVERAGE(41,41)</f>
        <v>41</v>
      </c>
    </row>
    <row r="103" spans="2:7" ht="11.45" hidden="1" customHeight="1">
      <c r="B103" s="33"/>
      <c r="C103" s="33"/>
      <c r="D103" s="33"/>
      <c r="E103" s="33"/>
      <c r="F103" s="34"/>
      <c r="G103" s="60"/>
    </row>
    <row r="104" spans="2:7" ht="11.45" hidden="1" customHeight="1">
      <c r="B104" s="257" t="s">
        <v>79</v>
      </c>
      <c r="C104" s="257"/>
      <c r="D104" s="257"/>
      <c r="E104" s="257"/>
      <c r="F104" s="20" t="s">
        <v>212</v>
      </c>
      <c r="G104" s="57"/>
    </row>
    <row r="105" spans="2:7" ht="11.45" hidden="1" customHeight="1">
      <c r="B105" s="244" t="s">
        <v>213</v>
      </c>
      <c r="C105" s="244"/>
      <c r="D105" s="244"/>
      <c r="E105" s="244"/>
      <c r="F105" s="21" t="s">
        <v>214</v>
      </c>
      <c r="G105" s="8" t="s">
        <v>215</v>
      </c>
    </row>
    <row r="106" spans="2:7" ht="11.45" hidden="1" customHeight="1">
      <c r="B106" s="30" t="s">
        <v>216</v>
      </c>
      <c r="C106" s="31"/>
      <c r="D106" s="31"/>
      <c r="E106" s="32"/>
      <c r="F106" s="26">
        <v>0</v>
      </c>
      <c r="G106" s="58">
        <v>0</v>
      </c>
    </row>
    <row r="107" spans="2:7" ht="11.45" hidden="1" customHeight="1">
      <c r="B107" s="30" t="s">
        <v>81</v>
      </c>
      <c r="C107" s="31"/>
      <c r="D107" s="31"/>
      <c r="E107" s="32"/>
      <c r="F107" s="28">
        <f>AVERAGE(70,90)</f>
        <v>80</v>
      </c>
      <c r="G107" s="59">
        <f>AVERAGE(70,90)</f>
        <v>80</v>
      </c>
    </row>
    <row r="108" spans="2:7" ht="11.45" hidden="1" customHeight="1">
      <c r="B108" s="30" t="s">
        <v>80</v>
      </c>
      <c r="C108" s="31"/>
      <c r="D108" s="31"/>
      <c r="E108" s="32"/>
      <c r="F108" s="28">
        <f>AVERAGE(25,50)</f>
        <v>37.5</v>
      </c>
      <c r="G108" s="59">
        <f>AVERAGE(25,50)</f>
        <v>37.5</v>
      </c>
    </row>
    <row r="109" spans="2:7" ht="11.45" hidden="1" customHeight="1">
      <c r="B109" s="30" t="s">
        <v>82</v>
      </c>
      <c r="C109" s="31"/>
      <c r="D109" s="31"/>
      <c r="E109" s="32"/>
      <c r="F109" s="35">
        <f>AVERAGE(90,96)</f>
        <v>93</v>
      </c>
      <c r="G109" s="59">
        <f>AVERAGE(90,96)</f>
        <v>93</v>
      </c>
    </row>
    <row r="110" spans="2:7" ht="11.45" hidden="1" customHeight="1">
      <c r="B110" s="36" t="s">
        <v>94</v>
      </c>
      <c r="C110" s="36"/>
      <c r="D110" s="36"/>
      <c r="E110" s="36"/>
      <c r="F110" s="28">
        <f>AVERAGE(80,98)</f>
        <v>89</v>
      </c>
      <c r="G110" s="59">
        <f>AVERAGE(80,98)</f>
        <v>89</v>
      </c>
    </row>
    <row r="111" spans="2:7" ht="11.45" hidden="1" customHeight="1"/>
    <row r="112" spans="2:7" ht="11.45" hidden="1" customHeight="1">
      <c r="B112" s="257" t="s">
        <v>23</v>
      </c>
      <c r="C112" s="257"/>
      <c r="D112" s="257"/>
      <c r="E112" s="257"/>
      <c r="F112" s="20" t="s">
        <v>217</v>
      </c>
      <c r="G112" s="57"/>
    </row>
    <row r="113" spans="2:7" ht="11.45" hidden="1" customHeight="1">
      <c r="B113" s="244" t="s">
        <v>218</v>
      </c>
      <c r="C113" s="244"/>
      <c r="D113" s="244"/>
      <c r="E113" s="244"/>
      <c r="F113" s="22" t="s">
        <v>219</v>
      </c>
      <c r="G113" s="8" t="s">
        <v>220</v>
      </c>
    </row>
    <row r="114" spans="2:7" ht="11.45" hidden="1" customHeight="1">
      <c r="B114" s="30" t="s">
        <v>221</v>
      </c>
      <c r="C114" s="31"/>
      <c r="D114" s="31"/>
      <c r="E114" s="32"/>
      <c r="F114" s="26">
        <v>0</v>
      </c>
      <c r="G114" s="58">
        <v>0</v>
      </c>
    </row>
    <row r="115" spans="2:7" ht="11.45" hidden="1" customHeight="1">
      <c r="B115" s="30" t="s">
        <v>222</v>
      </c>
      <c r="C115" s="31"/>
      <c r="D115" s="31"/>
      <c r="E115" s="32"/>
      <c r="F115" s="26">
        <v>0</v>
      </c>
      <c r="G115" s="58">
        <v>33</v>
      </c>
    </row>
    <row r="116" spans="2:7" ht="11.45" hidden="1" customHeight="1">
      <c r="B116" s="33"/>
      <c r="C116" s="33"/>
      <c r="D116" s="33"/>
      <c r="E116" s="33"/>
      <c r="G116" s="3"/>
    </row>
    <row r="117" spans="2:7" ht="11.45" hidden="1" customHeight="1">
      <c r="B117" s="33"/>
      <c r="C117" s="33"/>
      <c r="D117" s="33"/>
      <c r="E117" s="33"/>
      <c r="G117" s="3"/>
    </row>
    <row r="118" spans="2:7" ht="11.45" hidden="1" customHeight="1">
      <c r="B118" s="246" t="s">
        <v>87</v>
      </c>
      <c r="C118" s="247"/>
      <c r="D118" s="248"/>
      <c r="E118" s="226" t="s">
        <v>97</v>
      </c>
      <c r="F118" s="227"/>
      <c r="G118" s="227"/>
    </row>
    <row r="119" spans="2:7" ht="11.45" hidden="1" customHeight="1">
      <c r="B119" s="254" t="s">
        <v>223</v>
      </c>
      <c r="C119" s="255"/>
      <c r="D119" s="256"/>
      <c r="E119" s="22" t="s">
        <v>53</v>
      </c>
      <c r="F119" s="22" t="s">
        <v>54</v>
      </c>
      <c r="G119" s="8" t="s">
        <v>55</v>
      </c>
    </row>
    <row r="120" spans="2:7" ht="11.45" hidden="1" customHeight="1">
      <c r="B120" s="30" t="s">
        <v>224</v>
      </c>
      <c r="C120" s="31"/>
      <c r="D120" s="31"/>
      <c r="E120" s="27">
        <v>0</v>
      </c>
      <c r="F120" s="27">
        <v>0</v>
      </c>
      <c r="G120" s="61">
        <v>0</v>
      </c>
    </row>
    <row r="121" spans="2:7" ht="11.45" hidden="1" customHeight="1">
      <c r="B121" s="30" t="s">
        <v>86</v>
      </c>
      <c r="C121" s="31"/>
      <c r="D121" s="31"/>
      <c r="E121" s="27">
        <v>0</v>
      </c>
      <c r="F121" s="27">
        <v>0</v>
      </c>
      <c r="G121" s="61">
        <v>94</v>
      </c>
    </row>
    <row r="122" spans="2:7" ht="11.45" hidden="1" customHeight="1">
      <c r="B122" s="30" t="s">
        <v>92</v>
      </c>
      <c r="C122" s="31"/>
      <c r="D122" s="31"/>
      <c r="E122" s="27">
        <v>80</v>
      </c>
      <c r="F122" s="27">
        <v>0</v>
      </c>
      <c r="G122" s="61">
        <v>0</v>
      </c>
    </row>
    <row r="123" spans="2:7" ht="11.45" hidden="1" customHeight="1">
      <c r="B123" s="30" t="s">
        <v>225</v>
      </c>
      <c r="C123" s="31"/>
      <c r="D123" s="31"/>
      <c r="E123" s="27">
        <v>45</v>
      </c>
      <c r="F123" s="27">
        <v>45</v>
      </c>
      <c r="G123" s="61">
        <v>45</v>
      </c>
    </row>
    <row r="124" spans="2:7" ht="11.45" hidden="1" customHeight="1">
      <c r="B124" s="30" t="s">
        <v>85</v>
      </c>
      <c r="C124" s="31"/>
      <c r="D124" s="31"/>
      <c r="E124" s="27">
        <v>0</v>
      </c>
      <c r="F124" s="27">
        <v>0</v>
      </c>
      <c r="G124" s="58">
        <v>99.2</v>
      </c>
    </row>
    <row r="125" spans="2:7" ht="11.45" hidden="1" customHeight="1"/>
    <row r="126" spans="2:7" ht="11.45" hidden="1" customHeight="1">
      <c r="B126" s="37" t="s">
        <v>98</v>
      </c>
      <c r="C126" s="37"/>
      <c r="D126" s="37"/>
      <c r="E126" s="38">
        <f>INDEX(E120:G124,MATCH(A65,B120:B124,0),MATCH(H37,E119:G119,0))</f>
        <v>0</v>
      </c>
    </row>
    <row r="127" spans="2:7" ht="11.45" hidden="1" customHeight="1"/>
  </sheetData>
  <sheetProtection password="CA53" sheet="1" objects="1" scenarios="1"/>
  <mergeCells count="38">
    <mergeCell ref="A66:C66"/>
    <mergeCell ref="A50:I50"/>
    <mergeCell ref="A40:G41"/>
    <mergeCell ref="A13:B13"/>
    <mergeCell ref="A14:B14"/>
    <mergeCell ref="A15:B15"/>
    <mergeCell ref="A16:B16"/>
    <mergeCell ref="B42:C42"/>
    <mergeCell ref="B43:C43"/>
    <mergeCell ref="A46:C46"/>
    <mergeCell ref="A47:C47"/>
    <mergeCell ref="A51:H51"/>
    <mergeCell ref="A4:B4"/>
    <mergeCell ref="C4:F4"/>
    <mergeCell ref="A5:C6"/>
    <mergeCell ref="A7:B7"/>
    <mergeCell ref="C7:F7"/>
    <mergeCell ref="B119:D119"/>
    <mergeCell ref="B93:E93"/>
    <mergeCell ref="B104:E104"/>
    <mergeCell ref="B112:E112"/>
    <mergeCell ref="B113:E113"/>
    <mergeCell ref="B92:G92"/>
    <mergeCell ref="B94:E94"/>
    <mergeCell ref="B105:E105"/>
    <mergeCell ref="A10:F11"/>
    <mergeCell ref="B118:D118"/>
    <mergeCell ref="B84:B85"/>
    <mergeCell ref="A37:B37"/>
    <mergeCell ref="C37:F37"/>
    <mergeCell ref="B83:G83"/>
    <mergeCell ref="A53:C53"/>
    <mergeCell ref="A54:C54"/>
    <mergeCell ref="A57:C57"/>
    <mergeCell ref="A58:C58"/>
    <mergeCell ref="A61:C61"/>
    <mergeCell ref="A62:C62"/>
    <mergeCell ref="A65:C65"/>
  </mergeCells>
  <conditionalFormatting sqref="A5:F7">
    <cfRule type="expression" dxfId="6" priority="2">
      <formula>$H$4="D"</formula>
    </cfRule>
  </conditionalFormatting>
  <conditionalFormatting sqref="A9:F16">
    <cfRule type="expression" dxfId="5" priority="1">
      <formula>$H$4="R"</formula>
    </cfRule>
  </conditionalFormatting>
  <dataValidations count="11">
    <dataValidation allowBlank="1" showInputMessage="1" showErrorMessage="1" sqref="A42"/>
    <dataValidation type="list" allowBlank="1" showInputMessage="1" showErrorMessage="1" sqref="B42">
      <formula1>$C$85:$G$85</formula1>
    </dataValidation>
    <dataValidation type="list" allowBlank="1" showInputMessage="1" showErrorMessage="1" sqref="B43">
      <formula1>$B$86:$B$89</formula1>
    </dataValidation>
    <dataValidation type="list" allowBlank="1" showInputMessage="1" showErrorMessage="1" sqref="C44">
      <formula1>#REF!</formula1>
    </dataValidation>
    <dataValidation type="list" allowBlank="1" showInputMessage="1" showErrorMessage="1" sqref="C37:F37">
      <formula1>"Industriel,Commercial/institutionnel/résidentiel,Centrale électrique"</formula1>
    </dataValidation>
    <dataValidation type="list" allowBlank="1" showInputMessage="1" showErrorMessage="1" sqref="C4:F4">
      <formula1>"Distillée,Résiduelle"</formula1>
    </dataValidation>
    <dataValidation type="list" allowBlank="1" showInputMessage="1" showErrorMessage="1" sqref="C7:F7">
      <formula1>"Mazout No.6,Mazout No.5, Mazout No.4"</formula1>
    </dataValidation>
    <dataValidation type="list" allowBlank="1" showInputMessage="1" showErrorMessage="1" sqref="A53:C53">
      <formula1>$B$95:$B$102</formula1>
    </dataValidation>
    <dataValidation type="list" allowBlank="1" showInputMessage="1" showErrorMessage="1" sqref="A57:C57">
      <formula1>$B$106:$B$110</formula1>
    </dataValidation>
    <dataValidation type="list" allowBlank="1" showInputMessage="1" showErrorMessage="1" sqref="A61:C61">
      <formula1>$B$114:$B$115</formula1>
    </dataValidation>
    <dataValidation type="list" allowBlank="1" showInputMessage="1" showErrorMessage="1" sqref="A65:C65">
      <formula1>$B$120:$B$124</formula1>
    </dataValidation>
  </dataValidations>
  <pageMargins left="0.70866141732283472" right="0.70866141732283472" top="0.74803149606299213" bottom="0.74803149606299213" header="0.31496062992125984" footer="0.31496062992125984"/>
  <pageSetup scale="80"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4"/>
  <sheetViews>
    <sheetView zoomScale="115" zoomScaleNormal="115" workbookViewId="0"/>
  </sheetViews>
  <sheetFormatPr defaultColWidth="9.5703125" defaultRowHeight="12.75"/>
  <cols>
    <col min="1" max="1" width="55" style="62" customWidth="1"/>
    <col min="2" max="2" width="13" style="62" customWidth="1"/>
    <col min="3" max="3" width="22.42578125" style="62" bestFit="1" customWidth="1"/>
    <col min="4" max="4" width="12.28515625" style="62" bestFit="1" customWidth="1"/>
    <col min="5" max="5" width="22.5703125" style="62" customWidth="1"/>
    <col min="6" max="6" width="42.140625" style="62" bestFit="1" customWidth="1"/>
    <col min="7" max="7" width="24.42578125" style="62" customWidth="1"/>
    <col min="8" max="8" width="8.7109375" style="62" customWidth="1"/>
    <col min="9" max="10" width="9.5703125" style="62"/>
    <col min="11" max="11" width="10" style="62" bestFit="1" customWidth="1"/>
    <col min="12" max="16384" width="9.5703125" style="62"/>
  </cols>
  <sheetData>
    <row r="1" spans="1:11" ht="15" customHeight="1">
      <c r="A1" s="104" t="s">
        <v>131</v>
      </c>
      <c r="H1" s="68"/>
    </row>
    <row r="2" spans="1:11">
      <c r="H2" s="68"/>
    </row>
    <row r="3" spans="1:11" ht="15" customHeight="1">
      <c r="A3" s="107" t="s">
        <v>132</v>
      </c>
      <c r="B3" s="70" t="s">
        <v>745</v>
      </c>
      <c r="C3" s="70" t="s">
        <v>182</v>
      </c>
      <c r="D3" s="70" t="s">
        <v>704</v>
      </c>
      <c r="E3" s="70" t="s">
        <v>133</v>
      </c>
      <c r="F3" s="70" t="s">
        <v>134</v>
      </c>
      <c r="G3" s="70" t="s">
        <v>141</v>
      </c>
      <c r="H3" s="70" t="s">
        <v>702</v>
      </c>
    </row>
    <row r="4" spans="1:11" ht="15" customHeight="1">
      <c r="A4" s="65" t="s">
        <v>226</v>
      </c>
      <c r="B4" s="64" t="s">
        <v>227</v>
      </c>
      <c r="C4" s="71">
        <f>IF('Entrée des données'!$H$4="R", VLOOKUP(B4,'FICHE MAÎTRESSE - H. RÉSIDUELLE'!$C$6:$H$45,3,FALSE),IF('Entrée des données'!$H$4="D",IFERROR(VLOOKUP(B4,'FICHE MAÎTRESSE - H. DISTILLÉE'!$C$6:$H$49,3,FALSE),"Huile résiduelle seulement")))</f>
        <v>7.6209683301430652E-6</v>
      </c>
      <c r="D4" s="79" t="s">
        <v>151</v>
      </c>
      <c r="E4" s="71" t="str">
        <f>IF('Entrée des données'!$H$4="R", VLOOKUP(B4,'FICHE MAÎTRESSE - H. RÉSIDUELLE'!$C$6:$H$45,4,FALSE),IF('Entrée des données'!$H$4="D",IFERROR(VLOOKUP(B4,'FICHE MAÎTRESSE - H. DISTILLÉE'!$C$6:$H$49,4,FALSE),"Huile résiduelle seulement")))</f>
        <v>E</v>
      </c>
      <c r="F4" s="73">
        <f>'Entrée des données'!$B$33</f>
        <v>0</v>
      </c>
      <c r="G4" s="74">
        <f>IF('Entrée des données'!$H$4="R", VLOOKUP(B4,'FICHE MAÎTRESSE - H. RÉSIDUELLE'!$C$6:$H$45,6,FALSE)/1000,IF('Entrée des données'!$H$4="D",IFERROR(VLOOKUP(B4,'FICHE MAÎTRESSE - H. DISTILLÉE'!$C$6:$H$49,6,FALSE)/1000,"Huile résiduelle seulement")))</f>
        <v>0</v>
      </c>
      <c r="H4" s="72" t="s">
        <v>705</v>
      </c>
      <c r="K4" s="78"/>
    </row>
    <row r="5" spans="1:11" ht="15" customHeight="1">
      <c r="A5" s="65" t="s">
        <v>228</v>
      </c>
      <c r="B5" s="64" t="s">
        <v>229</v>
      </c>
      <c r="C5" s="71">
        <f>IF('Entrée des données'!$H$4="R", VLOOKUP(B5,'FICHE MAÎTRESSE - H. RÉSIDUELLE'!$C$6:$H$45,3,FALSE),IF('Entrée des données'!$H$4="D",IFERROR(VLOOKUP(B5,'FICHE MAÎTRESSE - H. DISTILLÉE'!$C$6:$H$49,3,FALSE),"Huile résiduelle seulement")))</f>
        <v>7.4292458564287735E-4</v>
      </c>
      <c r="D5" s="79" t="s">
        <v>230</v>
      </c>
      <c r="E5" s="71" t="str">
        <f>IF('Entrée des données'!$H$4="R", VLOOKUP(B5,'FICHE MAÎTRESSE - H. RÉSIDUELLE'!$C$6:$H$45,4,FALSE),IF('Entrée des données'!$H$4="D",IFERROR(VLOOKUP(B5,'FICHE MAÎTRESSE - H. DISTILLÉE'!$C$6:$H$49,4,FALSE),"Huile résiduelle seulement")))</f>
        <v>D</v>
      </c>
      <c r="F5" s="73">
        <f>'Entrée des données'!$B$33</f>
        <v>0</v>
      </c>
      <c r="G5" s="74">
        <f>IF('Entrée des données'!$H$4="R", VLOOKUP(B5,'FICHE MAÎTRESSE - H. RÉSIDUELLE'!$C$6:$H$45,6,FALSE)/1000,IF('Entrée des données'!$H$4="D",IFERROR(VLOOKUP(B5,'FICHE MAÎTRESSE - H. DISTILLÉE'!$C$6:$H$49,6,FALSE)/1000,"Huile résiduelle seulement")))</f>
        <v>0</v>
      </c>
      <c r="H5" s="72" t="s">
        <v>705</v>
      </c>
    </row>
    <row r="6" spans="1:11" ht="15" customHeight="1">
      <c r="A6" s="65" t="s">
        <v>231</v>
      </c>
      <c r="B6" s="64" t="s">
        <v>232</v>
      </c>
      <c r="C6" s="71">
        <f>IF('Entrée des données'!$H$4="R", VLOOKUP(B6,'FICHE MAÎTRESSE - H. RÉSIDUELLE'!$C$6:$H$45,3,FALSE),IF('Entrée des données'!$H$4="D",IFERROR(VLOOKUP(B6,'FICHE MAÎTRESSE - H. DISTILLÉE'!$C$6:$H$49,3,FALSE),"Huile résiduelle seulement")))</f>
        <v>1.3061093521786072E-5</v>
      </c>
      <c r="D6" s="79" t="s">
        <v>152</v>
      </c>
      <c r="E6" s="71" t="str">
        <f>IF('Entrée des données'!$H$4="R", VLOOKUP(B6,'FICHE MAÎTRESSE - H. RÉSIDUELLE'!$C$6:$H$45,4,FALSE),IF('Entrée des données'!$H$4="D",IFERROR(VLOOKUP(B6,'FICHE MAÎTRESSE - H. DISTILLÉE'!$C$6:$H$49,4,FALSE),"Huile résiduelle seulement")))</f>
        <v>E</v>
      </c>
      <c r="F6" s="73">
        <f>'Entrée des données'!$B$33</f>
        <v>0</v>
      </c>
      <c r="G6" s="74">
        <f>IF('Entrée des données'!$H$4="R", VLOOKUP(B6,'FICHE MAÎTRESSE - H. RÉSIDUELLE'!$C$6:$H$45,6,FALSE)/1000,IF('Entrée des données'!$H$4="D",IFERROR(VLOOKUP(B6,'FICHE MAÎTRESSE - H. DISTILLÉE'!$C$6:$H$49,6,FALSE)/1000,"Huile résiduelle seulement")))</f>
        <v>0</v>
      </c>
      <c r="H6" s="72" t="s">
        <v>705</v>
      </c>
    </row>
    <row r="7" spans="1:11" ht="15" customHeight="1">
      <c r="A7" s="65" t="s">
        <v>233</v>
      </c>
      <c r="B7" s="64" t="s">
        <v>234</v>
      </c>
      <c r="C7" s="71">
        <f>IF('Entrée des données'!$H$4="R", VLOOKUP(B7,'FICHE MAÎTRESSE - H. RÉSIDUELLE'!$C$6:$H$45,3,FALSE),IF('Entrée des données'!$H$4="D",IFERROR(VLOOKUP(B7,'FICHE MAÎTRESSE - H. DISTILLÉE'!$C$6:$H$49,3,FALSE),"Huile résiduelle seulement")))</f>
        <v>5.7516742114287287E-3</v>
      </c>
      <c r="D7" s="79" t="s">
        <v>235</v>
      </c>
      <c r="E7" s="71" t="str">
        <f>IF('Entrée des données'!$H$4="R", VLOOKUP(B7,'FICHE MAÎTRESSE - H. RÉSIDUELLE'!$C$6:$H$45,4,FALSE),IF('Entrée des données'!$H$4="D",IFERROR(VLOOKUP(B7,'FICHE MAÎTRESSE - H. DISTILLÉE'!$C$6:$H$49,4,FALSE),"Huile résiduelle seulement")))</f>
        <v>E</v>
      </c>
      <c r="F7" s="73">
        <f>'Entrée des données'!$B$33</f>
        <v>0</v>
      </c>
      <c r="G7" s="74">
        <f>IF('Entrée des données'!$H$4="R", VLOOKUP(B7,'FICHE MAÎTRESSE - H. RÉSIDUELLE'!$C$6:$H$45,6,FALSE)/1000,IF('Entrée des données'!$H$4="D",IFERROR(VLOOKUP(B7,'FICHE MAÎTRESSE - H. DISTILLÉE'!$C$6:$H$49,6,FALSE)/1000,"Huile résiduelle seulement")))</f>
        <v>0</v>
      </c>
      <c r="H7" s="72" t="s">
        <v>705</v>
      </c>
    </row>
    <row r="8" spans="1:11" ht="15" customHeight="1">
      <c r="A8" s="65" t="s">
        <v>236</v>
      </c>
      <c r="B8" s="64" t="s">
        <v>237</v>
      </c>
      <c r="C8" s="71">
        <f>IF('Entrée des données'!$H$4="R", VLOOKUP(B8,'FICHE MAÎTRESSE - H. RÉSIDUELLE'!$C$6:$H$45,3,FALSE),IF('Entrée des données'!$H$4="D",IFERROR(VLOOKUP(B8,'FICHE MAÎTRESSE - H. DISTILLÉE'!$C$6:$H$49,3,FALSE),"Huile résiduelle seulement")))</f>
        <v>2.5642880859286414E-5</v>
      </c>
      <c r="D8" s="79" t="s">
        <v>238</v>
      </c>
      <c r="E8" s="71" t="str">
        <f>IF('Entrée des données'!$H$4="R", VLOOKUP(B8,'FICHE MAÎTRESSE - H. RÉSIDUELLE'!$C$6:$H$45,4,FALSE),IF('Entrée des données'!$H$4="D",IFERROR(VLOOKUP(B8,'FICHE MAÎTRESSE - H. DISTILLÉE'!$C$6:$H$49,4,FALSE),"Huile résiduelle seulement")))</f>
        <v>C</v>
      </c>
      <c r="F8" s="73">
        <f>'Entrée des données'!$B$33</f>
        <v>0</v>
      </c>
      <c r="G8" s="74">
        <f>IF('Entrée des données'!$H$4="R", VLOOKUP(B8,'FICHE MAÎTRESSE - H. RÉSIDUELLE'!$C$6:$H$45,6,FALSE)/1000,IF('Entrée des données'!$H$4="D",IFERROR(VLOOKUP(B8,'FICHE MAÎTRESSE - H. DISTILLÉE'!$C$6:$H$49,6,FALSE)/1000,"Huile résiduelle seulement")))</f>
        <v>0</v>
      </c>
      <c r="H8" s="72" t="s">
        <v>705</v>
      </c>
    </row>
    <row r="9" spans="1:11" ht="15" customHeight="1">
      <c r="A9" s="65" t="s">
        <v>239</v>
      </c>
      <c r="B9" s="64" t="s">
        <v>240</v>
      </c>
      <c r="C9" s="71">
        <f>IF('Entrée des données'!$H$4="R", VLOOKUP(B9,'FICHE MAÎTRESSE - H. RÉSIDUELLE'!$C$6:$H$45,3,FALSE),IF('Entrée des données'!$H$4="D",IFERROR(VLOOKUP(B9,'FICHE MAÎTRESSE - H. DISTILLÉE'!$C$6:$H$49,3,FALSE),"Huile résiduelle seulement")))</f>
        <v>1.3540399706071796E-4</v>
      </c>
      <c r="D9" s="79" t="s">
        <v>241</v>
      </c>
      <c r="E9" s="71" t="str">
        <f>IF('Entrée des données'!$H$4="R", VLOOKUP(B9,'FICHE MAÎTRESSE - H. RÉSIDUELLE'!$C$6:$H$45,4,FALSE),IF('Entrée des données'!$H$4="D",IFERROR(VLOOKUP(B9,'FICHE MAÎTRESSE - H. DISTILLÉE'!$C$6:$H$49,4,FALSE),"Huile résiduelle seulement")))</f>
        <v>C</v>
      </c>
      <c r="F9" s="73">
        <f>'Entrée des données'!$B$33</f>
        <v>0</v>
      </c>
      <c r="G9" s="74">
        <f>IF('Entrée des données'!$H$4="R", VLOOKUP(B9,'FICHE MAÎTRESSE - H. RÉSIDUELLE'!$C$6:$H$45,6,FALSE)/1000,IF('Entrée des données'!$H$4="D",IFERROR(VLOOKUP(B9,'FICHE MAÎTRESSE - H. DISTILLÉE'!$C$6:$H$49,6,FALSE)/1000,"Huile résiduelle seulement")))</f>
        <v>0</v>
      </c>
      <c r="H9" s="72" t="s">
        <v>705</v>
      </c>
    </row>
    <row r="10" spans="1:11" ht="15" customHeight="1">
      <c r="A10" s="63" t="s">
        <v>242</v>
      </c>
      <c r="B10" s="64" t="s">
        <v>243</v>
      </c>
      <c r="C10" s="71" t="str">
        <f>IF('Entrée des données'!$H$4="R", VLOOKUP(B10,'FICHE MAÎTRESSE - H. RÉSIDUELLE'!$C$6:$H$45,3,FALSE),IF('Entrée des données'!$H$4="D",IFERROR(VLOOKUP(B10,'FICHE MAÎTRESSE - H. DISTILLÉE'!$C$6:$H$49,3,FALSE),"Huile résiduelle seulement")))</f>
        <v>Huile résiduelle seulement</v>
      </c>
      <c r="D10" s="79" t="s">
        <v>244</v>
      </c>
      <c r="E10" s="71" t="str">
        <f>IF('Entrée des données'!$H$4="R", VLOOKUP(B10,'FICHE MAÎTRESSE - H. RÉSIDUELLE'!$C$6:$H$45,4,FALSE),IF('Entrée des données'!$H$4="D",IFERROR(VLOOKUP(B10,'FICHE MAÎTRESSE - H. DISTILLÉE'!$C$6:$H$49,4,FALSE),"Huile résiduelle seulement")))</f>
        <v>Huile résiduelle seulement</v>
      </c>
      <c r="F10" s="73">
        <f>'Entrée des données'!$B$33</f>
        <v>0</v>
      </c>
      <c r="G10" s="74" t="str">
        <f>IF('Entrée des données'!$H$4="R", VLOOKUP(B10,'FICHE MAÎTRESSE - H. RÉSIDUELLE'!$C$6:$H$45,6,FALSE)/1000,IF('Entrée des données'!$H$4="D",IFERROR(VLOOKUP(B10,'FICHE MAÎTRESSE - H. DISTILLÉE'!$C$6:$H$49,6,FALSE)/1000,"Huile résiduelle seulement")))</f>
        <v>Huile résiduelle seulement</v>
      </c>
      <c r="H10" s="72" t="s">
        <v>705</v>
      </c>
    </row>
    <row r="11" spans="1:11" ht="15" customHeight="1">
      <c r="A11" s="63" t="s">
        <v>32</v>
      </c>
      <c r="B11" s="64" t="s">
        <v>245</v>
      </c>
      <c r="C11" s="71">
        <f>IF('Entrée des données'!$H$4="R", VLOOKUP(B11,'FICHE MAÎTRESSE - H. RÉSIDUELLE'!$C$6:$H$45,3,FALSE),IF('Entrée des données'!$H$4="D",IFERROR(VLOOKUP(B11,'FICHE MAÎTRESSE - H. DISTILLÉE'!$C$6:$H$49,3,FALSE),"Huile résiduelle seulement")))</f>
        <v>5.030080791990016E-5</v>
      </c>
      <c r="D11" s="79" t="s">
        <v>246</v>
      </c>
      <c r="E11" s="71" t="str">
        <f>IF('Entrée des données'!$H$4="R", VLOOKUP(B11,'FICHE MAÎTRESSE - H. RÉSIDUELLE'!$C$6:$H$45,4,FALSE),IF('Entrée des données'!$H$4="D",IFERROR(VLOOKUP(B11,'FICHE MAÎTRESSE - H. DISTILLÉE'!$C$6:$H$49,4,FALSE),"Huile résiduelle seulement")))</f>
        <v>E</v>
      </c>
      <c r="F11" s="73">
        <f>'Entrée des données'!$B$33</f>
        <v>0</v>
      </c>
      <c r="G11" s="74">
        <f>IF('Entrée des données'!$H$4="R", VLOOKUP(B11,'FICHE MAÎTRESSE - H. RÉSIDUELLE'!$C$6:$H$45,6,FALSE)/1000,IF('Entrée des données'!$H$4="D",IFERROR(VLOOKUP(B11,'FICHE MAÎTRESSE - H. DISTILLÉE'!$C$6:$H$49,6,FALSE)/1000,"Huile résiduelle seulement")))</f>
        <v>0</v>
      </c>
      <c r="H11" s="72" t="s">
        <v>705</v>
      </c>
    </row>
    <row r="12" spans="1:11" ht="15" customHeight="1">
      <c r="A12" s="63" t="s">
        <v>33</v>
      </c>
      <c r="B12" s="64" t="s">
        <v>247</v>
      </c>
      <c r="C12" s="71">
        <f>IF('Entrée des données'!$H$4="R", VLOOKUP(B12,'FICHE MAÎTRESSE - H. RÉSIDUELLE'!$C$6:$H$45,3,FALSE),IF('Entrée des données'!$H$4="D",IFERROR(VLOOKUP(B12,'FICHE MAÎTRESSE - H. DISTILLÉE'!$C$6:$H$49,3,FALSE),"Huile résiduelle seulement")))</f>
        <v>1.0060161583980032E-4</v>
      </c>
      <c r="D12" s="79" t="s">
        <v>248</v>
      </c>
      <c r="E12" s="71" t="str">
        <f>IF('Entrée des données'!$H$4="R", VLOOKUP(B12,'FICHE MAÎTRESSE - H. RÉSIDUELLE'!$C$6:$H$45,4,FALSE),IF('Entrée des données'!$H$4="D",IFERROR(VLOOKUP(B12,'FICHE MAÎTRESSE - H. DISTILLÉE'!$C$6:$H$49,4,FALSE),"Huile résiduelle seulement")))</f>
        <v>E</v>
      </c>
      <c r="F12" s="73">
        <f>'Entrée des données'!$B$33</f>
        <v>0</v>
      </c>
      <c r="G12" s="74">
        <f>IF('Entrée des données'!$H$4="R", VLOOKUP(B12,'FICHE MAÎTRESSE - H. RÉSIDUELLE'!$C$6:$H$45,6,FALSE)/1000,IF('Entrée des données'!$H$4="D",IFERROR(VLOOKUP(B12,'FICHE MAÎTRESSE - H. DISTILLÉE'!$C$6:$H$49,6,FALSE)/1000,"Huile résiduelle seulement")))</f>
        <v>0</v>
      </c>
      <c r="H12" s="72" t="s">
        <v>705</v>
      </c>
    </row>
    <row r="13" spans="1:11" ht="15" customHeight="1">
      <c r="A13" s="63" t="s">
        <v>249</v>
      </c>
      <c r="B13" s="64" t="s">
        <v>250</v>
      </c>
      <c r="C13" s="71">
        <f>IF('Entrée des données'!$H$4="R", VLOOKUP(B13,'FICHE MAÎTRESSE - H. RÉSIDUELLE'!$C$6:$H$45,3,FALSE),IF('Entrée des données'!$H$4="D",IFERROR(VLOOKUP(B13,'FICHE MAÎTRESSE - H. DISTILLÉE'!$C$6:$H$49,3,FALSE),"Huile résiduelle seulement")))</f>
        <v>1.0060161583980032E-4</v>
      </c>
      <c r="D13" s="79" t="s">
        <v>251</v>
      </c>
      <c r="E13" s="71" t="str">
        <f>IF('Entrée des données'!$H$4="R", VLOOKUP(B13,'FICHE MAÎTRESSE - H. RÉSIDUELLE'!$C$6:$H$45,4,FALSE),IF('Entrée des données'!$H$4="D",IFERROR(VLOOKUP(B13,'FICHE MAÎTRESSE - H. DISTILLÉE'!$C$6:$H$49,4,FALSE),"Huile résiduelle seulement")))</f>
        <v>E</v>
      </c>
      <c r="F13" s="73">
        <f>'Entrée des données'!$B$33</f>
        <v>0</v>
      </c>
      <c r="G13" s="74">
        <f>IF('Entrée des données'!$H$4="R", VLOOKUP(B13,'FICHE MAÎTRESSE - H. RÉSIDUELLE'!$C$6:$H$45,6,FALSE)/1000,IF('Entrée des données'!$H$4="D",IFERROR(VLOOKUP(B13,'FICHE MAÎTRESSE - H. DISTILLÉE'!$C$6:$H$49,6,FALSE)/1000,"Huile résiduelle seulement")))</f>
        <v>0</v>
      </c>
      <c r="H13" s="72" t="s">
        <v>705</v>
      </c>
    </row>
    <row r="14" spans="1:11" ht="15" customHeight="1">
      <c r="A14" s="63" t="s">
        <v>252</v>
      </c>
      <c r="B14" s="64" t="s">
        <v>253</v>
      </c>
      <c r="C14" s="71">
        <f>IF('Entrée des données'!$H$4="R", VLOOKUP(B14,'FICHE MAÎTRESSE - H. RÉSIDUELLE'!$C$6:$H$45,3,FALSE),IF('Entrée des données'!$H$4="D",IFERROR(VLOOKUP(B14,'FICHE MAÎTRESSE - H. DISTILLÉE'!$C$6:$H$49,3,FALSE),"Huile résiduelle seulement")))</f>
        <v>5.030080791990016E-5</v>
      </c>
      <c r="D14" s="79" t="s">
        <v>254</v>
      </c>
      <c r="E14" s="71" t="str">
        <f>IF('Entrée des données'!$H$4="R", VLOOKUP(B14,'FICHE MAÎTRESSE - H. RÉSIDUELLE'!$C$6:$H$45,4,FALSE),IF('Entrée des données'!$H$4="D",IFERROR(VLOOKUP(B14,'FICHE MAÎTRESSE - H. DISTILLÉE'!$C$6:$H$49,4,FALSE),"Huile résiduelle seulement")))</f>
        <v>E</v>
      </c>
      <c r="F14" s="73">
        <f>'Entrée des données'!$B$33</f>
        <v>0</v>
      </c>
      <c r="G14" s="74">
        <f>IF('Entrée des données'!$H$4="R", VLOOKUP(B14,'FICHE MAÎTRESSE - H. RÉSIDUELLE'!$C$6:$H$45,6,FALSE)/1000,IF('Entrée des données'!$H$4="D",IFERROR(VLOOKUP(B14,'FICHE MAÎTRESSE - H. DISTILLÉE'!$C$6:$H$49,6,FALSE)/1000,"Huile résiduelle seulement")))</f>
        <v>0</v>
      </c>
      <c r="H14" s="72" t="s">
        <v>705</v>
      </c>
    </row>
    <row r="15" spans="1:11" ht="15" customHeight="1">
      <c r="A15" s="63" t="s">
        <v>255</v>
      </c>
      <c r="B15" s="64" t="s">
        <v>256</v>
      </c>
      <c r="C15" s="71">
        <f>IF('Entrée des données'!$H$4="R", VLOOKUP(B15,'FICHE MAÎTRESSE - H. RÉSIDUELLE'!$C$6:$H$45,3,FALSE),IF('Entrée des données'!$H$4="D",IFERROR(VLOOKUP(B15,'FICHE MAÎTRESSE - H. DISTILLÉE'!$C$6:$H$49,3,FALSE),"Huile résiduelle seulement")))</f>
        <v>6.7067743893200199E-5</v>
      </c>
      <c r="D15" s="79" t="s">
        <v>257</v>
      </c>
      <c r="E15" s="71" t="str">
        <f>IF('Entrée des données'!$H$4="R", VLOOKUP(B15,'FICHE MAÎTRESSE - H. RÉSIDUELLE'!$C$6:$H$45,4,FALSE),IF('Entrée des données'!$H$4="D",IFERROR(VLOOKUP(B15,'FICHE MAÎTRESSE - H. DISTILLÉE'!$C$6:$H$49,4,FALSE),"Huile résiduelle seulement")))</f>
        <v>E</v>
      </c>
      <c r="F15" s="73">
        <f>'Entrée des données'!$B$33</f>
        <v>0</v>
      </c>
      <c r="G15" s="74">
        <f>IF('Entrée des données'!$H$4="R", VLOOKUP(B15,'FICHE MAÎTRESSE - H. RÉSIDUELLE'!$C$6:$H$45,6,FALSE)/1000,IF('Entrée des données'!$H$4="D",IFERROR(VLOOKUP(B15,'FICHE MAÎTRESSE - H. DISTILLÉE'!$C$6:$H$49,6,FALSE)/1000,"Huile résiduelle seulement")))</f>
        <v>0</v>
      </c>
      <c r="H15" s="72" t="s">
        <v>705</v>
      </c>
    </row>
    <row r="16" spans="1:11" ht="15" customHeight="1">
      <c r="A16" s="63" t="s">
        <v>46</v>
      </c>
      <c r="B16" s="66" t="s">
        <v>258</v>
      </c>
      <c r="C16" s="71" t="str">
        <f>IF('Entrée des données'!$H$4="R", VLOOKUP(B16,'FICHE MAÎTRESSE - H. RÉSIDUELLE'!$C$6:$H$45,3,FALSE),IF('Entrée des données'!$H$4="D",IFERROR(VLOOKUP(B16,'FICHE MAÎTRESSE - H. DISTILLÉE'!$C$6:$H$49,3,FALSE),"Huile résiduelle seulement")))</f>
        <v>Huile résiduelle seulement</v>
      </c>
      <c r="D16" s="79" t="s">
        <v>259</v>
      </c>
      <c r="E16" s="71" t="str">
        <f>IF('Entrée des données'!$H$4="R", VLOOKUP(B16,'FICHE MAÎTRESSE - H. RÉSIDUELLE'!$C$6:$H$45,4,FALSE),IF('Entrée des données'!$H$4="D",IFERROR(VLOOKUP(B16,'FICHE MAÎTRESSE - H. DISTILLÉE'!$C$6:$H$49,4,FALSE),"Huile résiduelle seulement")))</f>
        <v>Huile résiduelle seulement</v>
      </c>
      <c r="F16" s="73">
        <f>'Entrée des données'!$B$33</f>
        <v>0</v>
      </c>
      <c r="G16" s="74" t="str">
        <f>IF('Entrée des données'!$H$4="R", VLOOKUP(B16,'FICHE MAÎTRESSE - H. RÉSIDUELLE'!$C$6:$H$45,6,FALSE)/1000,IF('Entrée des données'!$H$4="D",IFERROR(VLOOKUP(B16,'FICHE MAÎTRESSE - H. DISTILLÉE'!$C$6:$H$49,6,FALSE)/1000,"Huile résiduelle seulement")))</f>
        <v>Huile résiduelle seulement</v>
      </c>
      <c r="H16" s="72" t="s">
        <v>705</v>
      </c>
    </row>
    <row r="17" spans="1:8" ht="15" customHeight="1">
      <c r="A17" s="63" t="s">
        <v>72</v>
      </c>
      <c r="B17" s="66" t="s">
        <v>260</v>
      </c>
      <c r="C17" s="71" t="str">
        <f>IF('Entrée des données'!$H$4="R", VLOOKUP(B17,'FICHE MAÎTRESSE - H. RÉSIDUELLE'!$C$6:$H$45,3,FALSE),IF('Entrée des données'!$H$4="D",IFERROR(VLOOKUP(B17,'FICHE MAÎTRESSE - H. DISTILLÉE'!$C$6:$H$49,3,FALSE),"Huile résiduelle seulement")))</f>
        <v>Huile résiduelle seulement</v>
      </c>
      <c r="D17" s="79" t="s">
        <v>261</v>
      </c>
      <c r="E17" s="71" t="str">
        <f>IF('Entrée des données'!$H$4="R", VLOOKUP(B17,'FICHE MAÎTRESSE - H. RÉSIDUELLE'!$C$6:$H$45,4,FALSE),IF('Entrée des données'!$H$4="D",IFERROR(VLOOKUP(B17,'FICHE MAÎTRESSE - H. DISTILLÉE'!$C$6:$H$49,4,FALSE),"Huile résiduelle seulement")))</f>
        <v>Huile résiduelle seulement</v>
      </c>
      <c r="F17" s="73">
        <f>'Entrée des données'!$B$33</f>
        <v>0</v>
      </c>
      <c r="G17" s="74" t="str">
        <f>IF('Entrée des données'!$H$4="R", VLOOKUP(B17,'FICHE MAÎTRESSE - H. RÉSIDUELLE'!$C$6:$H$45,6,FALSE)/1000,IF('Entrée des données'!$H$4="D",IFERROR(VLOOKUP(B17,'FICHE MAÎTRESSE - H. DISTILLÉE'!$C$6:$H$49,6,FALSE)/1000,"Huile résiduelle seulement")))</f>
        <v>Huile résiduelle seulement</v>
      </c>
      <c r="H17" s="72" t="s">
        <v>705</v>
      </c>
    </row>
    <row r="18" spans="1:8" ht="4.5" customHeight="1"/>
    <row r="19" spans="1:8">
      <c r="A19" s="75" t="s">
        <v>183</v>
      </c>
    </row>
    <row r="20" spans="1:8">
      <c r="A20" s="62" t="s">
        <v>746</v>
      </c>
    </row>
    <row r="22" spans="1:8">
      <c r="A22" s="104" t="s">
        <v>146</v>
      </c>
      <c r="H22" s="68"/>
    </row>
    <row r="23" spans="1:8">
      <c r="H23" s="68"/>
    </row>
    <row r="24" spans="1:8" ht="15" customHeight="1">
      <c r="A24" s="107" t="s">
        <v>262</v>
      </c>
      <c r="B24" s="70" t="s">
        <v>745</v>
      </c>
      <c r="C24" s="70" t="s">
        <v>263</v>
      </c>
      <c r="D24" s="70" t="s">
        <v>704</v>
      </c>
      <c r="E24" s="70" t="s">
        <v>264</v>
      </c>
      <c r="F24" s="70" t="s">
        <v>265</v>
      </c>
      <c r="G24" s="70" t="s">
        <v>266</v>
      </c>
      <c r="H24" s="70" t="s">
        <v>702</v>
      </c>
    </row>
    <row r="25" spans="1:8" ht="15" customHeight="1">
      <c r="A25" s="63" t="s">
        <v>267</v>
      </c>
      <c r="B25" s="66" t="s">
        <v>268</v>
      </c>
      <c r="C25" s="71">
        <f>IF('Entrée des données'!$H$4="R", VLOOKUP(B25,'FICHE MAÎTRESSE - H. RÉSIDUELLE'!$C$6:$H$45,3,FALSE),IF('Entrée des données'!$H$4="D",IFERROR(VLOOKUP(B25,'FICHE MAÎTRESSE - H. DISTILLÉE'!$C$6:$H$49,3,FALSE),"Huile résiduelle seulement")))</f>
        <v>6.7067743893200199E-5</v>
      </c>
      <c r="D25" s="79" t="s">
        <v>269</v>
      </c>
      <c r="E25" s="80" t="str">
        <f>IF('Entrée des données'!$H$4="R", VLOOKUP(B25,'FICHE MAÎTRESSE - H. RÉSIDUELLE'!$C$6:$H$45,4,FALSE),IF('Entrée des données'!$H$4="D",IFERROR(VLOOKUP(B25,'FICHE MAÎTRESSE - H. DISTILLÉE'!$C$6:$H$49,4,FALSE),"Huile résiduelle seulement")))</f>
        <v>E</v>
      </c>
      <c r="F25" s="73">
        <f>'Entrée des données'!$B$33</f>
        <v>0</v>
      </c>
      <c r="G25" s="74">
        <f>IF('Entrée des données'!$H$4="R", VLOOKUP(B25,'FICHE MAÎTRESSE - H. RÉSIDUELLE'!$C$6:$H$45,6,FALSE),IF('Entrée des données'!$H$4="D",IFERROR(VLOOKUP(B25,'FICHE MAÎTRESSE - H. DISTILLÉE'!$C$6:$H$49,6,FALSE),"Huile résiduelle seulement")))</f>
        <v>0</v>
      </c>
      <c r="H25" s="72" t="s">
        <v>139</v>
      </c>
    </row>
    <row r="26" spans="1:8" ht="15" customHeight="1">
      <c r="A26" s="63" t="s">
        <v>270</v>
      </c>
      <c r="B26" s="66" t="s">
        <v>271</v>
      </c>
      <c r="C26" s="71">
        <f>IF('Entrée des données'!$H$4="R", VLOOKUP(B26,'FICHE MAÎTRESSE - H. RÉSIDUELLE'!$C$6:$H$45,3,FALSE),IF('Entrée des données'!$H$4="D",IFERROR(VLOOKUP(B26,'FICHE MAÎTRESSE - H. DISTILLÉE'!$C$6:$H$49,3,FALSE),"Huile résiduelle seulement")))</f>
        <v>5.030080791990016E-5</v>
      </c>
      <c r="D26" s="79" t="s">
        <v>272</v>
      </c>
      <c r="E26" s="80" t="str">
        <f>IF('Entrée des données'!$H$4="R", VLOOKUP(B26,'FICHE MAÎTRESSE - H. RÉSIDUELLE'!$C$6:$H$45,4,FALSE),IF('Entrée des données'!$H$4="D",IFERROR(VLOOKUP(B26,'FICHE MAÎTRESSE - H. DISTILLÉE'!$C$6:$H$49,4,FALSE),"Huile résiduelle seulement")))</f>
        <v>E</v>
      </c>
      <c r="F26" s="73">
        <f>'Entrée des données'!$B$33</f>
        <v>0</v>
      </c>
      <c r="G26" s="74">
        <f>IF('Entrée des données'!$H$4="R", VLOOKUP(B26,'FICHE MAÎTRESSE - H. RÉSIDUELLE'!$C$6:$H$45,6,FALSE),IF('Entrée des données'!$H$4="D",IFERROR(VLOOKUP(B26,'FICHE MAÎTRESSE - H. DISTILLÉE'!$C$6:$H$49,6,FALSE),"Huile résiduelle seulement")))</f>
        <v>0</v>
      </c>
      <c r="H26" s="72" t="s">
        <v>273</v>
      </c>
    </row>
    <row r="27" spans="1:8" ht="15" customHeight="1">
      <c r="A27" s="63" t="s">
        <v>274</v>
      </c>
      <c r="B27" s="66" t="s">
        <v>275</v>
      </c>
      <c r="C27" s="71" t="str">
        <f>IF('Entrée des données'!$H$4="R", VLOOKUP(B27,'FICHE MAÎTRESSE - H. RÉSIDUELLE'!$C$6:$H$45,3,FALSE),IF('Entrée des données'!$H$4="D",IFERROR(VLOOKUP(B27,'FICHE MAÎTRESSE - H. DISTILLÉE'!$C$6:$H$49,3,FALSE),"Huile résiduelle seulement")))</f>
        <v>Huile résiduelle seulement</v>
      </c>
      <c r="D27" s="79" t="s">
        <v>276</v>
      </c>
      <c r="E27" s="80" t="str">
        <f>IF('Entrée des données'!$H$4="R", VLOOKUP(B27,'FICHE MAÎTRESSE - H. RÉSIDUELLE'!$C$6:$H$45,4,FALSE),IF('Entrée des données'!$H$4="D",IFERROR(VLOOKUP(B27,'FICHE MAÎTRESSE - H. DISTILLÉE'!$C$6:$H$49,4,FALSE),"Huile résiduelle seulement")))</f>
        <v>Huile résiduelle seulement</v>
      </c>
      <c r="F27" s="73">
        <f>'Entrée des données'!$B$33</f>
        <v>0</v>
      </c>
      <c r="G27" s="74" t="str">
        <f>IF('Entrée des données'!$H$4="R", VLOOKUP(B27,'FICHE MAÎTRESSE - H. RÉSIDUELLE'!$C$6:$H$45,6,FALSE),IF('Entrée des données'!$H$4="D",IFERROR(VLOOKUP(B27,'FICHE MAÎTRESSE - H. DISTILLÉE'!$C$6:$H$49,6,FALSE),"Huile résiduelle seulement")))</f>
        <v>Huile résiduelle seulement</v>
      </c>
      <c r="H27" s="72" t="s">
        <v>277</v>
      </c>
    </row>
    <row r="28" spans="1:8" ht="15" customHeight="1">
      <c r="A28" s="63" t="s">
        <v>45</v>
      </c>
      <c r="B28" s="66" t="s">
        <v>278</v>
      </c>
      <c r="C28" s="71">
        <f>IF('Entrée des données'!$H$4="R", VLOOKUP(B28,'FICHE MAÎTRESSE - H. RÉSIDUELLE'!$C$6:$H$45,3,FALSE),IF('Entrée des données'!$H$4="D",IFERROR(VLOOKUP(B28,'FICHE MAÎTRESSE - H. DISTILLÉE'!$C$6:$H$49,3,FALSE),"Huile résiduelle seulement")))</f>
        <v>1.5090242375970044E-4</v>
      </c>
      <c r="D28" s="79" t="s">
        <v>279</v>
      </c>
      <c r="E28" s="80" t="str">
        <f>IF('Entrée des données'!$H$4="R", VLOOKUP(B28,'FICHE MAÎTRESSE - H. RÉSIDUELLE'!$C$6:$H$45,4,FALSE),IF('Entrée des données'!$H$4="D",IFERROR(VLOOKUP(B28,'FICHE MAÎTRESSE - H. DISTILLÉE'!$C$6:$H$49,4,FALSE),"Huile résiduelle seulement")))</f>
        <v>E</v>
      </c>
      <c r="F28" s="73">
        <f>'Entrée des données'!$B$33</f>
        <v>0</v>
      </c>
      <c r="G28" s="74">
        <f>IF('Entrée des données'!$H$4="R", VLOOKUP(B28,'FICHE MAÎTRESSE - H. RÉSIDUELLE'!$C$6:$H$45,6,FALSE),IF('Entrée des données'!$H$4="D",IFERROR(VLOOKUP(B28,'FICHE MAÎTRESSE - H. DISTILLÉE'!$C$6:$H$49,6,FALSE),"Huile résiduelle seulement")))</f>
        <v>0</v>
      </c>
      <c r="H28" s="72" t="s">
        <v>280</v>
      </c>
    </row>
    <row r="29" spans="1:8" ht="15" customHeight="1">
      <c r="A29" s="63" t="s">
        <v>281</v>
      </c>
      <c r="B29" s="66" t="s">
        <v>282</v>
      </c>
      <c r="C29" s="71">
        <f>IF('Entrée des données'!$H$4="R", VLOOKUP(B29,'FICHE MAÎTRESSE - H. RÉSIDUELLE'!$C$6:$H$45,3,FALSE),IF('Entrée des données'!$H$4="D",IFERROR(VLOOKUP(B29,'FICHE MAÎTRESSE - H. DISTILLÉE'!$C$6:$H$49,3,FALSE),"Huile résiduelle seulement")))</f>
        <v>5.030080791990016E-5</v>
      </c>
      <c r="D29" s="79" t="s">
        <v>283</v>
      </c>
      <c r="E29" s="80" t="str">
        <f>IF('Entrée des données'!$H$4="R", VLOOKUP(B29,'FICHE MAÎTRESSE - H. RÉSIDUELLE'!$C$6:$H$45,4,FALSE),IF('Entrée des données'!$H$4="D",IFERROR(VLOOKUP(B29,'FICHE MAÎTRESSE - H. DISTILLÉE'!$C$6:$H$49,4,FALSE),"Huile résiduelle seulement")))</f>
        <v>E</v>
      </c>
      <c r="F29" s="73">
        <f>'Entrée des données'!$B$33</f>
        <v>0</v>
      </c>
      <c r="G29" s="74">
        <f>IF('Entrée des données'!$H$4="R", VLOOKUP(B29,'FICHE MAÎTRESSE - H. RÉSIDUELLE'!$C$6:$H$45,6,FALSE),IF('Entrée des données'!$H$4="D",IFERROR(VLOOKUP(B29,'FICHE MAÎTRESSE - H. DISTILLÉE'!$C$6:$H$49,6,FALSE),"Huile résiduelle seulement")))</f>
        <v>0</v>
      </c>
      <c r="H29" s="72" t="s">
        <v>284</v>
      </c>
    </row>
    <row r="30" spans="1:8" ht="15" customHeight="1">
      <c r="A30" s="63" t="s">
        <v>285</v>
      </c>
      <c r="B30" s="66" t="s">
        <v>286</v>
      </c>
      <c r="C30" s="71">
        <f>IF('Entrée des données'!$H$4="R", VLOOKUP(B30,'FICHE MAÎTRESSE - H. RÉSIDUELLE'!$C$6:$H$45,3,FALSE),IF('Entrée des données'!$H$4="D",IFERROR(VLOOKUP(B30,'FICHE MAÎTRESSE - H. DISTILLÉE'!$C$6:$H$49,3,FALSE),"Huile résiduelle seulement")))</f>
        <v>2.5150403959950076E-4</v>
      </c>
      <c r="D30" s="79" t="s">
        <v>287</v>
      </c>
      <c r="E30" s="80" t="str">
        <f>IF('Entrée des données'!$H$4="R", VLOOKUP(B30,'FICHE MAÎTRESSE - H. RÉSIDUELLE'!$C$6:$H$45,4,FALSE),IF('Entrée des données'!$H$4="D",IFERROR(VLOOKUP(B30,'FICHE MAÎTRESSE - H. DISTILLÉE'!$C$6:$H$49,4,FALSE),"Huile résiduelle seulement")))</f>
        <v>E</v>
      </c>
      <c r="F30" s="73">
        <f>'Entrée des données'!$B$33</f>
        <v>0</v>
      </c>
      <c r="G30" s="74">
        <f>IF('Entrée des données'!$H$4="R", VLOOKUP(B30,'FICHE MAÎTRESSE - H. RÉSIDUELLE'!$C$6:$H$45,6,FALSE),IF('Entrée des données'!$H$4="D",IFERROR(VLOOKUP(B30,'FICHE MAÎTRESSE - H. DISTILLÉE'!$C$6:$H$49,6,FALSE),"Huile résiduelle seulement")))</f>
        <v>0</v>
      </c>
      <c r="H30" s="72" t="s">
        <v>288</v>
      </c>
    </row>
    <row r="31" spans="1:8" ht="15" customHeight="1">
      <c r="A31" s="63" t="s">
        <v>744</v>
      </c>
      <c r="B31" s="66" t="s">
        <v>289</v>
      </c>
      <c r="C31" s="71" t="str">
        <f>IF('Entrée des données'!$H$4="R", VLOOKUP(B31,'FICHE MAÎTRESSE - H. RÉSIDUELLE'!$C$6:$H$45,3,FALSE),IF('Entrée des données'!$H$4="D",IFERROR(VLOOKUP(B31,'FICHE MAÎTRESSE - H. DISTILLÉE'!$C$6:$H$49,3,FALSE),"Huile résiduelle seulement")))</f>
        <v>Huile résiduelle seulement</v>
      </c>
      <c r="D31" s="79" t="s">
        <v>290</v>
      </c>
      <c r="E31" s="80" t="str">
        <f>IF('Entrée des données'!$H$4="R", VLOOKUP(B31,'FICHE MAÎTRESSE - H. RÉSIDUELLE'!$C$6:$H$45,4,FALSE),IF('Entrée des données'!$H$4="D",IFERROR(VLOOKUP(B31,'FICHE MAÎTRESSE - H. DISTILLÉE'!$C$6:$H$49,4,FALSE),"Huile résiduelle seulement")))</f>
        <v>Huile résiduelle seulement</v>
      </c>
      <c r="F31" s="73">
        <f>'Entrée des données'!$B$33</f>
        <v>0</v>
      </c>
      <c r="G31" s="74" t="str">
        <f>IF('Entrée des données'!$H$4="R", VLOOKUP(B31,'FICHE MAÎTRESSE - H. RÉSIDUELLE'!$C$6:$H$45,6,FALSE),IF('Entrée des données'!$H$4="D",IFERROR(VLOOKUP(B31,'FICHE MAÎTRESSE - H. DISTILLÉE'!$C$6:$H$49,6,FALSE),"Huile résiduelle seulement")))</f>
        <v>Huile résiduelle seulement</v>
      </c>
      <c r="H31" s="72" t="s">
        <v>291</v>
      </c>
    </row>
    <row r="32" spans="1:8" ht="6" customHeight="1">
      <c r="A32" s="75"/>
      <c r="B32" s="76"/>
      <c r="C32" s="76"/>
      <c r="D32" s="76"/>
      <c r="E32" s="77"/>
      <c r="F32" s="76"/>
      <c r="G32" s="76"/>
      <c r="H32" s="76"/>
    </row>
    <row r="33" spans="1:1">
      <c r="A33" s="75" t="s">
        <v>292</v>
      </c>
    </row>
    <row r="34" spans="1:1">
      <c r="A34" s="62" t="s">
        <v>746</v>
      </c>
    </row>
  </sheetData>
  <sheetProtection password="CA53" sheet="1" objects="1" scenarios="1"/>
  <sortState ref="A25:H31">
    <sortCondition ref="B25"/>
  </sortState>
  <phoneticPr fontId="22" type="noConversion"/>
  <pageMargins left="0.39370078740157483" right="0.39370078740157483" top="0.47244094488188981" bottom="0.39370078740157483" header="0.31496062992125984" footer="0.31496062992125984"/>
  <pageSetup scale="7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115" zoomScaleNormal="115" workbookViewId="0"/>
  </sheetViews>
  <sheetFormatPr defaultColWidth="9.5703125" defaultRowHeight="12.75"/>
  <cols>
    <col min="1" max="1" width="34" style="62" customWidth="1"/>
    <col min="2" max="2" width="15" style="62" customWidth="1"/>
    <col min="3" max="3" width="22.42578125" style="62" bestFit="1" customWidth="1"/>
    <col min="4" max="4" width="12.28515625" style="62" bestFit="1" customWidth="1"/>
    <col min="5" max="5" width="10.85546875" style="62" bestFit="1" customWidth="1"/>
    <col min="6" max="6" width="42.140625" style="62" bestFit="1" customWidth="1"/>
    <col min="7" max="7" width="12.85546875" style="62" bestFit="1" customWidth="1"/>
    <col min="8" max="8" width="11.5703125" style="62" bestFit="1" customWidth="1"/>
    <col min="9" max="9" width="8.42578125" style="62" customWidth="1"/>
    <col min="10" max="10" width="5.7109375" style="62" customWidth="1"/>
    <col min="11" max="16384" width="9.5703125" style="62"/>
  </cols>
  <sheetData>
    <row r="1" spans="1:8">
      <c r="A1" s="105" t="s">
        <v>137</v>
      </c>
      <c r="E1" s="84"/>
      <c r="F1" s="84"/>
      <c r="G1" s="84"/>
      <c r="H1" s="84"/>
    </row>
    <row r="2" spans="1:8">
      <c r="A2" s="91"/>
      <c r="B2" s="87"/>
      <c r="C2" s="87"/>
      <c r="D2" s="87"/>
      <c r="E2" s="87"/>
      <c r="F2" s="87"/>
      <c r="G2" s="84"/>
      <c r="H2" s="84"/>
    </row>
    <row r="3" spans="1:8" ht="15" customHeight="1">
      <c r="A3" s="82" t="s">
        <v>293</v>
      </c>
      <c r="B3" s="52" t="s">
        <v>294</v>
      </c>
      <c r="C3" s="70" t="s">
        <v>295</v>
      </c>
      <c r="D3" s="70" t="s">
        <v>704</v>
      </c>
      <c r="E3" s="52" t="s">
        <v>296</v>
      </c>
      <c r="F3" s="52" t="s">
        <v>138</v>
      </c>
      <c r="G3" s="82" t="s">
        <v>297</v>
      </c>
      <c r="H3" s="52" t="s">
        <v>702</v>
      </c>
    </row>
    <row r="4" spans="1:8" ht="15" customHeight="1">
      <c r="A4" s="63" t="s">
        <v>298</v>
      </c>
      <c r="B4" s="205" t="s">
        <v>299</v>
      </c>
      <c r="C4" s="93">
        <f>IF('Entrée des données'!$H$4="R", VLOOKUP(B4,'FICHE MAÎTRESSE - H. RÉSIDUELLE'!$C$6:$H$48,3,FALSE),IF('Entrée des données'!$H$4="D",IFERROR(VLOOKUP(B4,'FICHE MAÎTRESSE - H. DISTILLÉE'!$C$6:$H$49,3,FALSE),"Huile résiduelle seulement")))</f>
        <v>2.528340122107212E-6</v>
      </c>
      <c r="D4" s="79" t="s">
        <v>300</v>
      </c>
      <c r="E4" s="51" t="str">
        <f>IF('Entrée des données'!$H$4="R", VLOOKUP(B4,'FICHE MAÎTRESSE - H. RÉSIDUELLE'!$C$6:$H$48,4,FALSE),IF('Entrée des données'!$H$4="D",IFERROR(VLOOKUP(B4,'FICHE MAÎTRESSE - H. DISTILLÉE'!$C$6:$H$49,4,FALSE),"Huile résiduelle seulement")))</f>
        <v>C</v>
      </c>
      <c r="F4" s="92">
        <f>'Entrée des données'!$B$33</f>
        <v>0</v>
      </c>
      <c r="G4" s="98">
        <f>IF('Entrée des données'!$H$4="R", VLOOKUP(B4,'FICHE MAÎTRESSE - H. RÉSIDUELLE'!$C$6:$H$48,6,FALSE),IF('Entrée des données'!$H$4="D",IFERROR(VLOOKUP(B4,'FICHE MAÎTRESSE - H. DISTILLÉE'!$C$6:$H$49,6,FALSE),"Huile résiduelle seulement")))</f>
        <v>0</v>
      </c>
      <c r="H4" s="81" t="s">
        <v>706</v>
      </c>
    </row>
    <row r="5" spans="1:8" ht="15" customHeight="1">
      <c r="A5" s="63" t="s">
        <v>179</v>
      </c>
      <c r="B5" s="66" t="s">
        <v>301</v>
      </c>
      <c r="C5" s="93">
        <f>IF('Entrée des données'!$H$4="R", VLOOKUP(B5,'FICHE MAÎTRESSE - H. RÉSIDUELLE'!$C$6:$H$48,3,FALSE),IF('Entrée des données'!$H$4="D",IFERROR(VLOOKUP(B5,'FICHE MAÎTRESSE - H. DISTILLÉE'!$C$6:$H$49,3,FALSE),"Huile résiduelle seulement")))</f>
        <v>3.0316116156072255E-8</v>
      </c>
      <c r="D5" s="79" t="s">
        <v>302</v>
      </c>
      <c r="E5" s="51" t="str">
        <f>IF('Entrée des données'!$H$4="R", VLOOKUP(B5,'FICHE MAÎTRESSE - H. RÉSIDUELLE'!$C$6:$H$48,4,FALSE),IF('Entrée des données'!$H$4="D",IFERROR(VLOOKUP(B5,'FICHE MAÎTRESSE - H. DISTILLÉE'!$C$6:$H$49,4,FALSE),"Huile résiduelle seulement")))</f>
        <v>D</v>
      </c>
      <c r="F5" s="92">
        <f>'Entrée des données'!$B$33</f>
        <v>0</v>
      </c>
      <c r="G5" s="98">
        <f>IF('Entrée des données'!$H$4="R", VLOOKUP(B5,'FICHE MAÎTRESSE - H. RÉSIDUELLE'!$C$6:$H$48,6,FALSE),IF('Entrée des données'!$H$4="D",IFERROR(VLOOKUP(B5,'FICHE MAÎTRESSE - H. DISTILLÉE'!$C$6:$H$49,6,FALSE),"Huile résiduelle seulement")))</f>
        <v>0</v>
      </c>
      <c r="H5" s="81" t="s">
        <v>706</v>
      </c>
    </row>
    <row r="6" spans="1:8" ht="15" customHeight="1">
      <c r="A6" s="63" t="s">
        <v>303</v>
      </c>
      <c r="B6" s="64" t="s">
        <v>304</v>
      </c>
      <c r="C6" s="93">
        <f>IF('Entrée des données'!$H$4="R", VLOOKUP(B6,'FICHE MAÎTRESSE - H. RÉSIDUELLE'!$C$6:$H$48,3,FALSE),IF('Entrée des données'!$H$4="D",IFERROR(VLOOKUP(B6,'FICHE MAÎTRESSE - H. DISTILLÉE'!$C$6:$H$49,3,FALSE),"Huile résiduelle seulement")))</f>
        <v>1.4618838620714684E-7</v>
      </c>
      <c r="D6" s="79" t="s">
        <v>305</v>
      </c>
      <c r="E6" s="51" t="str">
        <f>IF('Entrée des données'!$H$4="R", VLOOKUP(B6,'FICHE MAÎTRESSE - H. RÉSIDUELLE'!$C$6:$H$48,4,FALSE),IF('Entrée des données'!$H$4="D",IFERROR(VLOOKUP(B6,'FICHE MAÎTRESSE - H. DISTILLÉE'!$C$6:$H$49,4,FALSE),"Huile résiduelle seulement")))</f>
        <v>C</v>
      </c>
      <c r="F6" s="92">
        <f>'Entrée des données'!$B$33</f>
        <v>0</v>
      </c>
      <c r="G6" s="98">
        <f>IF('Entrée des données'!$H$4="R", VLOOKUP(B6,'FICHE MAÎTRESSE - H. RÉSIDUELLE'!$C$6:$H$48,6,FALSE),IF('Entrée des données'!$H$4="D",IFERROR(VLOOKUP(B6,'FICHE MAÎTRESSE - H. DISTILLÉE'!$C$6:$H$49,6,FALSE),"Huile résiduelle seulement")))</f>
        <v>0</v>
      </c>
      <c r="H6" s="81" t="s">
        <v>706</v>
      </c>
    </row>
    <row r="7" spans="1:8" ht="15" customHeight="1">
      <c r="A7" s="63" t="s">
        <v>24</v>
      </c>
      <c r="B7" s="66" t="s">
        <v>306</v>
      </c>
      <c r="C7" s="93">
        <f>IF('Entrée des données'!$H$4="R", VLOOKUP(B7,'FICHE MAÎTRESSE - H. RÉSIDUELLE'!$C$6:$H$48,3,FALSE),IF('Entrée des données'!$H$4="D",IFERROR(VLOOKUP(B7,'FICHE MAÎTRESSE - H. DISTILLÉE'!$C$6:$H$49,3,FALSE),"Huile résiduelle seulement")))</f>
        <v>4.8050444974644168E-7</v>
      </c>
      <c r="D7" s="79" t="s">
        <v>307</v>
      </c>
      <c r="E7" s="51" t="str">
        <f>IF('Entrée des données'!$H$4="R", VLOOKUP(B7,'FICHE MAÎTRESSE - H. RÉSIDUELLE'!$C$6:$H$48,4,FALSE),IF('Entrée des données'!$H$4="D",IFERROR(VLOOKUP(B7,'FICHE MAÎTRESSE - H. DISTILLÉE'!$C$6:$H$49,4,FALSE),"Huile résiduelle seulement")))</f>
        <v>C</v>
      </c>
      <c r="F7" s="92">
        <f>'Entrée des données'!$B$33</f>
        <v>0</v>
      </c>
      <c r="G7" s="98">
        <f>IF('Entrée des données'!$H$4="R", VLOOKUP(B7,'FICHE MAÎTRESSE - H. RÉSIDUELLE'!$C$6:$H$48,6,FALSE),IF('Entrée des données'!$H$4="D",IFERROR(VLOOKUP(B7,'FICHE MAÎTRESSE - H. DISTILLÉE'!$C$6:$H$49,6,FALSE),"Huile résiduelle seulement")))</f>
        <v>0</v>
      </c>
      <c r="H7" s="81" t="s">
        <v>706</v>
      </c>
    </row>
    <row r="8" spans="1:8" ht="15" customHeight="1">
      <c r="A8" s="63" t="s">
        <v>42</v>
      </c>
      <c r="B8" s="66" t="s">
        <v>308</v>
      </c>
      <c r="C8" s="93">
        <f>IF('Entrée des données'!$H$4="R", VLOOKUP(B8,'FICHE MAÎTRESSE - H. RÉSIDUELLE'!$C$6:$H$48,3,FALSE),IF('Entrée des données'!$H$4="D",IFERROR(VLOOKUP(B8,'FICHE MAÎTRESSE - H. DISTILLÉE'!$C$6:$H$49,3,FALSE),"Huile résiduelle seulement")))</f>
        <v>2.851871796500078E-7</v>
      </c>
      <c r="D8" s="79" t="s">
        <v>309</v>
      </c>
      <c r="E8" s="51" t="str">
        <f>IF('Entrée des données'!$H$4="R", VLOOKUP(B8,'FICHE MAÎTRESSE - H. RÉSIDUELLE'!$C$6:$H$48,4,FALSE),IF('Entrée des données'!$H$4="D",IFERROR(VLOOKUP(B8,'FICHE MAÎTRESSE - H. DISTILLÉE'!$C$6:$H$49,4,FALSE),"Huile résiduelle seulement")))</f>
        <v>C</v>
      </c>
      <c r="F8" s="92">
        <f>'Entrée des données'!$B$33</f>
        <v>0</v>
      </c>
      <c r="G8" s="98">
        <f>IF('Entrée des données'!$H$4="R", VLOOKUP(B8,'FICHE MAÎTRESSE - H. RÉSIDUELLE'!$C$6:$H$48,6,FALSE),IF('Entrée des données'!$H$4="D",IFERROR(VLOOKUP(B8,'FICHE MAÎTRESSE - H. DISTILLÉE'!$C$6:$H$49,6,FALSE),"Huile résiduelle seulement")))</f>
        <v>0</v>
      </c>
      <c r="H8" s="81" t="s">
        <v>706</v>
      </c>
    </row>
    <row r="9" spans="1:8" ht="15" customHeight="1">
      <c r="A9" s="63" t="s">
        <v>26</v>
      </c>
      <c r="B9" s="66" t="s">
        <v>310</v>
      </c>
      <c r="C9" s="93">
        <f>IF('Entrée des données'!$H$4="R", VLOOKUP(B9,'FICHE MAÎTRESSE - H. RÉSIDUELLE'!$C$6:$H$48,3,FALSE),IF('Entrée des données'!$H$4="D",IFERROR(VLOOKUP(B9,'FICHE MAÎTRESSE - H. DISTILLÉE'!$C$6:$H$49,3,FALSE),"Huile résiduelle seulement")))</f>
        <v>1.7734328818571913E-7</v>
      </c>
      <c r="D9" s="79" t="s">
        <v>311</v>
      </c>
      <c r="E9" s="51" t="str">
        <f>IF('Entrée des données'!$H$4="R", VLOOKUP(B9,'FICHE MAÎTRESSE - H. RÉSIDUELLE'!$C$6:$H$48,4,FALSE),IF('Entrée des données'!$H$4="D",IFERROR(VLOOKUP(B9,'FICHE MAÎTRESSE - H. DISTILLÉE'!$C$6:$H$49,4,FALSE),"Huile résiduelle seulement")))</f>
        <v>C</v>
      </c>
      <c r="F9" s="92">
        <f>'Entrée des données'!$B$33</f>
        <v>0</v>
      </c>
      <c r="G9" s="98">
        <f>IF('Entrée des données'!$H$4="R", VLOOKUP(B9,'FICHE MAÎTRESSE - H. RÉSIDUELLE'!$C$6:$H$48,6,FALSE),IF('Entrée des données'!$H$4="D",IFERROR(VLOOKUP(B9,'FICHE MAÎTRESSE - H. DISTILLÉE'!$C$6:$H$49,6,FALSE),"Huile résiduelle seulement")))</f>
        <v>0</v>
      </c>
      <c r="H9" s="81" t="s">
        <v>706</v>
      </c>
    </row>
    <row r="10" spans="1:8" ht="15" customHeight="1">
      <c r="A10" s="63" t="s">
        <v>27</v>
      </c>
      <c r="B10" s="66" t="s">
        <v>312</v>
      </c>
      <c r="C10" s="93">
        <f>IF('Entrée des données'!$H$4="R", VLOOKUP(B10,'FICHE MAÎTRESSE - H. RÉSIDUELLE'!$C$6:$H$48,3,FALSE),IF('Entrée des données'!$H$4="D",IFERROR(VLOOKUP(B10,'FICHE MAÎTRESSE - H. DISTILLÉE'!$C$6:$H$49,3,FALSE),"Huile résiduelle seulement")))</f>
        <v>2.7080799412143594E-7</v>
      </c>
      <c r="D10" s="79" t="s">
        <v>313</v>
      </c>
      <c r="E10" s="51" t="str">
        <f>IF('Entrée des données'!$H$4="R", VLOOKUP(B10,'FICHE MAÎTRESSE - H. RÉSIDUELLE'!$C$6:$H$48,4,FALSE),IF('Entrée des données'!$H$4="D",IFERROR(VLOOKUP(B10,'FICHE MAÎTRESSE - H. DISTILLÉE'!$C$6:$H$49,4,FALSE),"Huile résiduelle seulement")))</f>
        <v>C</v>
      </c>
      <c r="F10" s="92">
        <f>'Entrée des données'!$B$33</f>
        <v>0</v>
      </c>
      <c r="G10" s="98">
        <f>IF('Entrée des données'!$H$4="R", VLOOKUP(B10,'FICHE MAÎTRESSE - H. RÉSIDUELLE'!$C$6:$H$48,6,FALSE),IF('Entrée des données'!$H$4="D",IFERROR(VLOOKUP(B10,'FICHE MAÎTRESSE - H. DISTILLÉE'!$C$6:$H$49,6,FALSE),"Huile résiduelle seulement")))</f>
        <v>0</v>
      </c>
      <c r="H10" s="81" t="s">
        <v>706</v>
      </c>
    </row>
    <row r="11" spans="1:8" ht="15" customHeight="1">
      <c r="A11" s="63" t="s">
        <v>43</v>
      </c>
      <c r="B11" s="66" t="s">
        <v>314</v>
      </c>
      <c r="C11" s="93">
        <f>IF('Entrée des données'!$H$4="R", VLOOKUP(B11,'FICHE MAÎTRESSE - H. RÉSIDUELLE'!$C$6:$H$48,3,FALSE),IF('Entrée des données'!$H$4="D",IFERROR(VLOOKUP(B11,'FICHE MAÎTRESSE - H. DISTILLÉE'!$C$6:$H$49,3,FALSE),"Huile résiduelle seulement")))</f>
        <v>1.7734328818571913E-7</v>
      </c>
      <c r="D11" s="79" t="s">
        <v>315</v>
      </c>
      <c r="E11" s="51" t="str">
        <f>IF('Entrée des données'!$H$4="R", VLOOKUP(B11,'FICHE MAÎTRESSE - H. RÉSIDUELLE'!$C$6:$H$48,4,FALSE),IF('Entrée des données'!$H$4="D",IFERROR(VLOOKUP(B11,'FICHE MAÎTRESSE - H. DISTILLÉE'!$C$6:$H$49,4,FALSE),"Huile résiduelle seulement")))</f>
        <v>C</v>
      </c>
      <c r="F11" s="92">
        <f>'Entrée des données'!$B$33</f>
        <v>0</v>
      </c>
      <c r="G11" s="98">
        <f>IF('Entrée des données'!$H$4="R", VLOOKUP(B11,'FICHE MAÎTRESSE - H. RÉSIDUELLE'!$C$6:$H$48,6,FALSE),IF('Entrée des données'!$H$4="D",IFERROR(VLOOKUP(B11,'FICHE MAÎTRESSE - H. DISTILLÉE'!$C$6:$H$49,6,FALSE),"Huile résiduelle seulement")))</f>
        <v>0</v>
      </c>
      <c r="H11" s="81" t="s">
        <v>706</v>
      </c>
    </row>
    <row r="12" spans="1:8" ht="15" customHeight="1">
      <c r="A12" s="63" t="s">
        <v>29</v>
      </c>
      <c r="B12" s="66" t="s">
        <v>316</v>
      </c>
      <c r="C12" s="93">
        <f>IF('Entrée des données'!$H$4="R", VLOOKUP(B12,'FICHE MAÎTRESSE - H. RÉSIDUELLE'!$C$6:$H$48,3,FALSE),IF('Entrée des données'!$H$4="D",IFERROR(VLOOKUP(B12,'FICHE MAÎTRESSE - H. DISTILLÉE'!$C$6:$H$49,3,FALSE),"Huile résiduelle seulement")))</f>
        <v>2.0011033193929119E-7</v>
      </c>
      <c r="D12" s="79" t="s">
        <v>317</v>
      </c>
      <c r="E12" s="51" t="str">
        <f>IF('Entrée des données'!$H$4="R", VLOOKUP(B12,'FICHE MAÎTRESSE - H. RÉSIDUELLE'!$C$6:$H$48,4,FALSE),IF('Entrée des données'!$H$4="D",IFERROR(VLOOKUP(B12,'FICHE MAÎTRESSE - H. DISTILLÉE'!$C$6:$H$49,4,FALSE),"Huile résiduelle seulement")))</f>
        <v>D</v>
      </c>
      <c r="F12" s="92">
        <f>'Entrée des données'!$B$33</f>
        <v>0</v>
      </c>
      <c r="G12" s="98">
        <f>IF('Entrée des données'!$H$4="R", VLOOKUP(B12,'FICHE MAÎTRESSE - H. RÉSIDUELLE'!$C$6:$H$48,6,FALSE),IF('Entrée des données'!$H$4="D",IFERROR(VLOOKUP(B12,'FICHE MAÎTRESSE - H. DISTILLÉE'!$C$6:$H$49,6,FALSE),"Huile résiduelle seulement")))</f>
        <v>0</v>
      </c>
      <c r="H12" s="81" t="s">
        <v>706</v>
      </c>
    </row>
    <row r="13" spans="1:8" ht="15" customHeight="1">
      <c r="A13" s="63" t="s">
        <v>318</v>
      </c>
      <c r="B13" s="66" t="s">
        <v>319</v>
      </c>
      <c r="C13" s="93">
        <f>IF('Entrée des données'!$H$4="R", VLOOKUP(B13,'FICHE MAÎTRESSE - H. RÉSIDUELLE'!$C$6:$H$48,3,FALSE),IF('Entrée des données'!$H$4="D",IFERROR(VLOOKUP(B13,'FICHE MAÎTRESSE - H. DISTILLÉE'!$C$6:$H$49,3,FALSE),"Huile résiduelle seulement")))</f>
        <v>5.7996048298573011E-7</v>
      </c>
      <c r="D13" s="79" t="s">
        <v>320</v>
      </c>
      <c r="E13" s="51" t="str">
        <f>IF('Entrée des données'!$H$4="R", VLOOKUP(B13,'FICHE MAÎTRESSE - H. RÉSIDUELLE'!$C$6:$H$48,4,FALSE),IF('Entrée des données'!$H$4="D",IFERROR(VLOOKUP(B13,'FICHE MAÎTRESSE - H. DISTILLÉE'!$C$6:$H$49,4,FALSE),"Huile résiduelle seulement")))</f>
        <v>C</v>
      </c>
      <c r="F13" s="92">
        <f>'Entrée des données'!$B$33</f>
        <v>0</v>
      </c>
      <c r="G13" s="98">
        <f>IF('Entrée des données'!$H$4="R", VLOOKUP(B13,'FICHE MAÎTRESSE - H. RÉSIDUELLE'!$C$6:$H$48,6,FALSE),IF('Entrée des données'!$H$4="D",IFERROR(VLOOKUP(B13,'FICHE MAÎTRESSE - H. DISTILLÉE'!$C$6:$H$49,6,FALSE),"Huile résiduelle seulement")))</f>
        <v>0</v>
      </c>
      <c r="H13" s="81" t="s">
        <v>706</v>
      </c>
    </row>
    <row r="14" spans="1:8" ht="15" customHeight="1">
      <c r="A14" s="63" t="s">
        <v>321</v>
      </c>
      <c r="B14" s="66" t="s">
        <v>322</v>
      </c>
      <c r="C14" s="93">
        <f>IF('Entrée des données'!$H$4="R", VLOOKUP(B14,'FICHE MAÎTRESSE - H. RÉSIDUELLE'!$C$6:$H$48,3,FALSE),IF('Entrée des données'!$H$4="D",IFERROR(VLOOKUP(B14,'FICHE MAÎTRESSE - H. DISTILLÉE'!$C$6:$H$49,3,FALSE),"Huile résiduelle seulement")))</f>
        <v>5.3562466093930034E-7</v>
      </c>
      <c r="D14" s="79" t="s">
        <v>323</v>
      </c>
      <c r="E14" s="51" t="str">
        <f>IF('Entrée des données'!$H$4="R", VLOOKUP(B14,'FICHE MAÎTRESSE - H. RÉSIDUELLE'!$C$6:$H$48,4,FALSE),IF('Entrée des données'!$H$4="D",IFERROR(VLOOKUP(B14,'FICHE MAÎTRESSE - H. DISTILLÉE'!$C$6:$H$49,4,FALSE),"Huile résiduelle seulement")))</f>
        <v>C</v>
      </c>
      <c r="F14" s="92">
        <f>'Entrée des données'!$B$33</f>
        <v>0</v>
      </c>
      <c r="G14" s="98">
        <f>IF('Entrée des données'!$H$4="R", VLOOKUP(B14,'FICHE MAÎTRESSE - H. RÉSIDUELLE'!$C$6:$H$48,6,FALSE),IF('Entrée des données'!$H$4="D",IFERROR(VLOOKUP(B14,'FICHE MAÎTRESSE - H. DISTILLÉE'!$C$6:$H$49,6,FALSE),"Huile résiduelle seulement")))</f>
        <v>0</v>
      </c>
      <c r="H14" s="81" t="s">
        <v>706</v>
      </c>
    </row>
    <row r="15" spans="1:8" ht="15" customHeight="1">
      <c r="A15" s="63" t="s">
        <v>30</v>
      </c>
      <c r="B15" s="66" t="s">
        <v>324</v>
      </c>
      <c r="C15" s="93">
        <f>IF('Entrée des données'!$H$4="R", VLOOKUP(B15,'FICHE MAÎTRESSE - H. RÉSIDUELLE'!$C$6:$H$48,3,FALSE),IF('Entrée des données'!$H$4="D",IFERROR(VLOOKUP(B15,'FICHE MAÎTRESSE - H. DISTILLÉE'!$C$6:$H$49,3,FALSE),"Huile résiduelle seulement")))</f>
        <v>2.5642880859286413E-7</v>
      </c>
      <c r="D15" s="79" t="s">
        <v>325</v>
      </c>
      <c r="E15" s="51" t="str">
        <f>IF('Entrée des données'!$H$4="R", VLOOKUP(B15,'FICHE MAÎTRESSE - H. RÉSIDUELLE'!$C$6:$H$48,4,FALSE),IF('Entrée des données'!$H$4="D",IFERROR(VLOOKUP(B15,'FICHE MAÎTRESSE - H. DISTILLÉE'!$C$6:$H$49,4,FALSE),"Huile résiduelle seulement")))</f>
        <v>C</v>
      </c>
      <c r="F15" s="92">
        <f>'Entrée des données'!$B$33</f>
        <v>0</v>
      </c>
      <c r="G15" s="98">
        <f>IF('Entrée des données'!$H$4="R", VLOOKUP(B15,'FICHE MAÎTRESSE - H. RÉSIDUELLE'!$C$6:$H$48,6,FALSE),IF('Entrée des données'!$H$4="D",IFERROR(VLOOKUP(B15,'FICHE MAÎTRESSE - H. DISTILLÉE'!$C$6:$H$49,6,FALSE),"Huile résiduelle seulement")))</f>
        <v>0</v>
      </c>
      <c r="H15" s="81" t="s">
        <v>706</v>
      </c>
    </row>
    <row r="16" spans="1:8" ht="15" customHeight="1">
      <c r="A16" s="63" t="s">
        <v>326</v>
      </c>
      <c r="B16" s="66" t="s">
        <v>327</v>
      </c>
      <c r="C16" s="93">
        <f>IF('Entrée des données'!$H$4="R", VLOOKUP(B16,'FICHE MAÎTRESSE - H. RÉSIDUELLE'!$C$6:$H$48,3,FALSE),IF('Entrée des données'!$H$4="D",IFERROR(VLOOKUP(B16,'FICHE MAÎTRESSE - H. DISTILLÉE'!$C$6:$H$49,3,FALSE),"Huile résiduelle seulement")))</f>
        <v>1.2581787337500342E-6</v>
      </c>
      <c r="D16" s="79" t="s">
        <v>328</v>
      </c>
      <c r="E16" s="51" t="str">
        <f>IF('Entrée des données'!$H$4="R", VLOOKUP(B16,'FICHE MAÎTRESSE - H. RÉSIDUELLE'!$C$6:$H$48,4,FALSE),IF('Entrée des données'!$H$4="D",IFERROR(VLOOKUP(B16,'FICHE MAÎTRESSE - H. DISTILLÉE'!$C$6:$H$49,4,FALSE),"Huile résiduelle seulement")))</f>
        <v>E</v>
      </c>
      <c r="F16" s="92">
        <f>'Entrée des données'!$B$33</f>
        <v>0</v>
      </c>
      <c r="G16" s="98">
        <f>IF('Entrée des données'!$H$4="R", VLOOKUP(B16,'FICHE MAÎTRESSE - H. RÉSIDUELLE'!$C$6:$H$48,6,FALSE),IF('Entrée des données'!$H$4="D",IFERROR(VLOOKUP(B16,'FICHE MAÎTRESSE - H. DISTILLÉE'!$C$6:$H$49,6,FALSE),"Huile résiduelle seulement")))</f>
        <v>0</v>
      </c>
      <c r="H16" s="81" t="s">
        <v>706</v>
      </c>
    </row>
    <row r="17" spans="1:8" ht="15" customHeight="1">
      <c r="A17" s="63" t="s">
        <v>329</v>
      </c>
      <c r="B17" s="66" t="s">
        <v>330</v>
      </c>
      <c r="C17" s="93">
        <f>IF('Entrée des données'!$H$4="R", VLOOKUP(B17,'FICHE MAÎTRESSE - H. RÉSIDUELLE'!$C$6:$H$48,3,FALSE),IF('Entrée des données'!$H$4="D",IFERROR(VLOOKUP(B17,'FICHE MAÎTRESSE - H. DISTILLÉE'!$C$6:$H$49,3,FALSE),"Huile résiduelle seulement")))</f>
        <v>5.092628208035853E-7</v>
      </c>
      <c r="D17" s="79" t="s">
        <v>331</v>
      </c>
      <c r="E17" s="51" t="str">
        <f>IF('Entrée des données'!$H$4="R", VLOOKUP(B17,'FICHE MAÎTRESSE - H. RÉSIDUELLE'!$C$6:$H$48,4,FALSE),IF('Entrée des données'!$H$4="D",IFERROR(VLOOKUP(B17,'FICHE MAÎTRESSE - H. DISTILLÉE'!$C$6:$H$49,4,FALSE),"Huile résiduelle seulement")))</f>
        <v>C</v>
      </c>
      <c r="F17" s="92">
        <f>'Entrée des données'!$B$33</f>
        <v>0</v>
      </c>
      <c r="G17" s="98">
        <f>IF('Entrée des données'!$H$4="R", VLOOKUP(B17,'FICHE MAÎTRESSE - H. RÉSIDUELLE'!$C$6:$H$48,6,FALSE),IF('Entrée des données'!$H$4="D",IFERROR(VLOOKUP(B17,'FICHE MAÎTRESSE - H. DISTILLÉE'!$C$6:$H$49,6,FALSE),"Huile résiduelle seulement")))</f>
        <v>0</v>
      </c>
      <c r="H17" s="81" t="s">
        <v>706</v>
      </c>
    </row>
    <row r="18" spans="1:8" ht="8.25" customHeight="1">
      <c r="A18" s="67"/>
      <c r="B18" s="94"/>
      <c r="C18" s="95"/>
      <c r="D18" s="96"/>
      <c r="E18" s="96"/>
      <c r="F18" s="96"/>
      <c r="G18" s="97"/>
      <c r="H18" s="96"/>
    </row>
    <row r="19" spans="1:8" ht="15" customHeight="1">
      <c r="A19" s="75" t="s">
        <v>332</v>
      </c>
      <c r="B19" s="85"/>
      <c r="C19" s="84"/>
      <c r="D19" s="84"/>
      <c r="E19" s="84"/>
      <c r="F19" s="84"/>
      <c r="G19" s="84"/>
      <c r="H19" s="84"/>
    </row>
    <row r="20" spans="1:8" ht="15" customHeight="1">
      <c r="A20" s="69"/>
      <c r="B20" s="85"/>
      <c r="C20" s="84"/>
      <c r="D20" s="84"/>
      <c r="E20" s="84"/>
      <c r="F20" s="84"/>
      <c r="G20" s="84"/>
      <c r="H20" s="84"/>
    </row>
    <row r="21" spans="1:8" ht="15" customHeight="1">
      <c r="A21" s="69"/>
      <c r="B21" s="85"/>
      <c r="C21" s="84"/>
      <c r="D21" s="84"/>
      <c r="E21" s="84"/>
      <c r="F21" s="84"/>
      <c r="G21" s="84"/>
      <c r="H21" s="84"/>
    </row>
    <row r="22" spans="1:8" ht="15" customHeight="1">
      <c r="A22" s="69"/>
      <c r="B22" s="85"/>
      <c r="C22" s="84"/>
      <c r="D22" s="84"/>
      <c r="E22" s="84"/>
      <c r="F22" s="84"/>
      <c r="G22" s="84"/>
      <c r="H22" s="84"/>
    </row>
    <row r="23" spans="1:8">
      <c r="A23" s="105" t="s">
        <v>140</v>
      </c>
      <c r="B23" s="85"/>
      <c r="E23" s="86"/>
      <c r="F23" s="86"/>
      <c r="G23" s="84"/>
      <c r="H23" s="84"/>
    </row>
    <row r="24" spans="1:8">
      <c r="A24" s="84"/>
      <c r="B24" s="87"/>
      <c r="C24" s="87"/>
      <c r="D24" s="87"/>
      <c r="E24" s="87"/>
      <c r="F24" s="87"/>
      <c r="G24" s="84"/>
      <c r="H24" s="84"/>
    </row>
    <row r="25" spans="1:8" ht="15" customHeight="1">
      <c r="A25" s="82" t="s">
        <v>333</v>
      </c>
      <c r="B25" s="52" t="s">
        <v>334</v>
      </c>
      <c r="C25" s="70" t="s">
        <v>335</v>
      </c>
      <c r="D25" s="70" t="s">
        <v>704</v>
      </c>
      <c r="E25" s="52" t="s">
        <v>336</v>
      </c>
      <c r="F25" s="52" t="s">
        <v>337</v>
      </c>
      <c r="G25" s="82" t="s">
        <v>338</v>
      </c>
      <c r="H25" s="52" t="s">
        <v>702</v>
      </c>
    </row>
    <row r="26" spans="1:8" ht="15" customHeight="1">
      <c r="A26" s="65" t="s">
        <v>707</v>
      </c>
      <c r="B26" s="64" t="s">
        <v>339</v>
      </c>
      <c r="C26" s="93">
        <f>IF('Entrée des données'!$H$4="R", VLOOKUP(B26,'FICHE MAÎTRESSE - H. RÉSIDUELLE'!$C$6:$H$45,3,FALSE),IF('Entrée des données'!$H$4="D",IFERROR(VLOOKUP(B26,'FICHE MAÎTRESSE - H. DISTILLÉE'!$C$6:$H$49,3,FALSE),"Huile résiduelle seulement")))</f>
        <v>3.7146229282143872E-10</v>
      </c>
      <c r="D26" s="79" t="s">
        <v>340</v>
      </c>
      <c r="E26" s="51" t="str">
        <f>IF('Entrée des données'!$H$4="R", VLOOKUP(B26,'FICHE MAÎTRESSE - H. RÉSIDUELLE'!$C$6:$H$45,4,FALSE),IF('Entrée des données'!$H$4="D",IFERROR(VLOOKUP(B26,'FICHE MAÎTRESSE - H. DISTILLÉE'!$C$6:$H$49,4,FALSE),"Huile résiduelle seulement")))</f>
        <v>E</v>
      </c>
      <c r="F26" s="92">
        <f>'Entrée des données'!$B$33</f>
        <v>0</v>
      </c>
      <c r="G26" s="98">
        <f>IF('Entrée des données'!$H$4="R", VLOOKUP(B26,'FICHE MAÎTRESSE - H. RÉSIDUELLE'!$C$6:$H$45,6,FALSE),IF('Entrée des données'!$H$4="D",IFERROR(VLOOKUP(B26,'FICHE MAÎTRESSE - H. DISTILLÉE'!$C$6:$H$49,6,FALSE),"Huile résiduelle seulement")))</f>
        <v>0</v>
      </c>
      <c r="H26" s="81" t="s">
        <v>706</v>
      </c>
    </row>
    <row r="27" spans="1:8" ht="6" customHeight="1">
      <c r="A27" s="90"/>
      <c r="B27" s="88"/>
      <c r="C27" s="89"/>
      <c r="D27" s="89"/>
      <c r="E27" s="89"/>
      <c r="F27" s="89"/>
      <c r="G27" s="88"/>
      <c r="H27" s="89"/>
    </row>
    <row r="28" spans="1:8" ht="15" customHeight="1">
      <c r="A28" s="75" t="s">
        <v>341</v>
      </c>
      <c r="B28" s="85"/>
      <c r="C28" s="84"/>
      <c r="D28" s="84"/>
      <c r="E28" s="84"/>
      <c r="F28" s="84"/>
      <c r="G28" s="84"/>
      <c r="H28" s="84"/>
    </row>
    <row r="29" spans="1:8">
      <c r="A29" s="84"/>
      <c r="B29" s="85"/>
      <c r="C29" s="84"/>
      <c r="D29" s="84"/>
      <c r="E29" s="84"/>
      <c r="F29" s="84"/>
      <c r="G29" s="84"/>
      <c r="H29" s="84"/>
    </row>
    <row r="30" spans="1:8">
      <c r="A30" s="84"/>
      <c r="B30" s="85"/>
      <c r="C30" s="84"/>
      <c r="D30" s="84"/>
      <c r="E30" s="84"/>
      <c r="F30" s="84"/>
      <c r="G30" s="84"/>
      <c r="H30" s="84"/>
    </row>
  </sheetData>
  <sheetProtection password="CA53" sheet="1" objects="1" scenarios="1"/>
  <sortState ref="A4:H17">
    <sortCondition ref="A4"/>
  </sortState>
  <phoneticPr fontId="22" type="noConversion"/>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2"/>
  <sheetViews>
    <sheetView zoomScale="115" zoomScaleNormal="115" workbookViewId="0"/>
  </sheetViews>
  <sheetFormatPr defaultColWidth="9.5703125" defaultRowHeight="12.75"/>
  <cols>
    <col min="1" max="1" width="47.28515625" style="62" customWidth="1"/>
    <col min="2" max="2" width="12.5703125" style="62" customWidth="1"/>
    <col min="3" max="3" width="24.140625" style="62" customWidth="1"/>
    <col min="4" max="4" width="12.28515625" style="62" bestFit="1" customWidth="1"/>
    <col min="5" max="5" width="22.85546875" style="62" customWidth="1"/>
    <col min="6" max="6" width="42.140625" style="62" bestFit="1" customWidth="1"/>
    <col min="7" max="7" width="26.42578125" style="62" customWidth="1"/>
    <col min="8" max="8" width="10.7109375" style="62" customWidth="1"/>
    <col min="9" max="16384" width="9.5703125" style="62"/>
  </cols>
  <sheetData>
    <row r="1" spans="1:8">
      <c r="A1" s="106" t="s">
        <v>135</v>
      </c>
      <c r="H1" s="68"/>
    </row>
    <row r="2" spans="1:8">
      <c r="H2" s="68"/>
    </row>
    <row r="3" spans="1:8" ht="15" customHeight="1">
      <c r="A3" s="107" t="s">
        <v>342</v>
      </c>
      <c r="B3" s="70" t="s">
        <v>343</v>
      </c>
      <c r="C3" s="70" t="s">
        <v>344</v>
      </c>
      <c r="D3" s="70" t="s">
        <v>704</v>
      </c>
      <c r="E3" s="70" t="s">
        <v>345</v>
      </c>
      <c r="F3" s="70" t="s">
        <v>346</v>
      </c>
      <c r="G3" s="70" t="s">
        <v>347</v>
      </c>
      <c r="H3" s="70" t="s">
        <v>702</v>
      </c>
    </row>
    <row r="4" spans="1:8" s="118" customFormat="1" ht="15" customHeight="1">
      <c r="A4" s="119" t="s">
        <v>154</v>
      </c>
      <c r="B4" s="111" t="s">
        <v>348</v>
      </c>
      <c r="C4" s="112">
        <f>IF('Entrée des données'!$H$4="R", VLOOKUP(B4,'FICHE MAÎTRESSE - H. RÉSIDUELLE'!$C$6:$H$45,3,FALSE),IF('Entrée des données'!$H$4="D",IFERROR(VLOOKUP(B4,'FICHE MAÎTRESSE - H. DISTILLÉE'!$C$6:$H$49,3,FALSE),"Huile résiduelle seulement")))</f>
        <v>0.59913273035715919</v>
      </c>
      <c r="D4" s="113" t="s">
        <v>155</v>
      </c>
      <c r="E4" s="114" t="str">
        <f>IF('Entrée des données'!$H$4="R", VLOOKUP(B4,'FICHE MAÎTRESSE - H. RÉSIDUELLE'!$C$6:$H$45,4,FALSE),IF('Entrée des données'!$H$4="D",IFERROR(VLOOKUP(B4,'FICHE MAÎTRESSE - H. DISTILLÉE'!$C$6:$H$49,4,FALSE),"Huile résiduelle seulement")))</f>
        <v>A</v>
      </c>
      <c r="F4" s="115">
        <f>'Entrée des données'!$B$33</f>
        <v>0</v>
      </c>
      <c r="G4" s="116">
        <f>IF('Entrée des données'!$H$4="R", VLOOKUP(B4,'FICHE MAÎTRESSE - H. RÉSIDUELLE'!$C$6:$H$45,6,FALSE)/1000,IF('Entrée des données'!$H$4="D",IFERROR(VLOOKUP(B4,'FICHE MAÎTRESSE - H. DISTILLÉE'!$C$6:$H$49,6,FALSE)/1000,"Huile résiduelle seulement")))</f>
        <v>0</v>
      </c>
      <c r="H4" s="117" t="s">
        <v>705</v>
      </c>
    </row>
    <row r="5" spans="1:8" s="118" customFormat="1" ht="15" customHeight="1">
      <c r="A5" s="119" t="s">
        <v>162</v>
      </c>
      <c r="B5" s="111" t="s">
        <v>349</v>
      </c>
      <c r="C5" s="112">
        <f>IF('Entrée des données'!$H$4="R", VLOOKUP(B5,'FICHE MAÎTRESSE - H. RÉSIDUELLE'!$C$6:$H$45,3,FALSE),IF('Entrée des données'!$H$4="D",IFERROR(VLOOKUP(B5,'FICHE MAÎTRESSE - H. DISTILLÉE'!$C$6:$H$49,3,FALSE),"Huile résiduelle seulement")))</f>
        <v>7.9972236848073596E-3</v>
      </c>
      <c r="D5" s="113" t="s">
        <v>156</v>
      </c>
      <c r="E5" s="114" t="str">
        <f>IF('Entrée des données'!$H$4="R", VLOOKUP(B5,'FICHE MAÎTRESSE - H. RÉSIDUELLE'!$C$6:$H$45,4,FALSE),IF('Entrée des données'!$H$4="D",IFERROR(VLOOKUP(B5,'FICHE MAÎTRESSE - H. DISTILLÉE'!$C$6:$H$49,4,FALSE),"Huile résiduelle seulement")))</f>
        <v>A</v>
      </c>
      <c r="F5" s="115">
        <f>'Entrée des données'!$B$33</f>
        <v>0</v>
      </c>
      <c r="G5" s="116">
        <f>IF('Entrée des données'!$H$4="R", VLOOKUP(B5,'FICHE MAÎTRESSE - H. RÉSIDUELLE'!$C$6:$H$45,6,FALSE)/1000,IF('Entrée des données'!$H$4="D",IFERROR(VLOOKUP(B5,'FICHE MAÎTRESSE - H. DISTILLÉE'!$C$6:$H$49,6,FALSE)/1000,"Huile résiduelle seulement")))</f>
        <v>0</v>
      </c>
      <c r="H5" s="117" t="s">
        <v>705</v>
      </c>
    </row>
    <row r="6" spans="1:8" s="118" customFormat="1" ht="15" customHeight="1">
      <c r="A6" s="119" t="s">
        <v>708</v>
      </c>
      <c r="B6" s="111" t="s">
        <v>350</v>
      </c>
      <c r="C6" s="112">
        <f>IF('Entrée des données'!$H$4="R", VLOOKUP(B6,'FICHE MAÎTRESSE - H. RÉSIDUELLE'!$C$6:$H$45,3,FALSE),IF('Entrée des données'!$H$4="D",IFERROR(VLOOKUP(B6,'FICHE MAÎTRESSE - H. DISTILLÉE'!$C$6:$H$49,3,FALSE),"Huile résiduelle seulement")))</f>
        <v>2.3965309214286368</v>
      </c>
      <c r="D6" s="113" t="s">
        <v>351</v>
      </c>
      <c r="E6" s="114" t="str">
        <f>IF('Entrée des données'!$H$4="R", VLOOKUP(B6,'FICHE MAÎTRESSE - H. RÉSIDUELLE'!$C$6:$H$45,4,FALSE),IF('Entrée des données'!$H$4="D",IFERROR(VLOOKUP(B6,'FICHE MAÎTRESSE - H. DISTILLÉE'!$C$6:$H$49,4,FALSE),"Huile résiduelle seulement")))</f>
        <v>A</v>
      </c>
      <c r="F6" s="115">
        <f>'Entrée des données'!$B$33</f>
        <v>0</v>
      </c>
      <c r="G6" s="116">
        <f>IF('Entrée des données'!$H$4="R", VLOOKUP(B6,'FICHE MAÎTRESSE - H. RÉSIDUELLE'!$C$6:$H$45,6,FALSE)/1000,IF('Entrée des données'!$H$4="D",IFERROR(VLOOKUP(B6,'FICHE MAÎTRESSE - H. DISTILLÉE'!$C$6:$H$49,6,FALSE)/1000,"Huile résiduelle seulement")))</f>
        <v>0</v>
      </c>
      <c r="H6" s="117" t="s">
        <v>705</v>
      </c>
    </row>
    <row r="7" spans="1:8" s="118" customFormat="1" ht="15" customHeight="1">
      <c r="A7" s="119" t="s">
        <v>741</v>
      </c>
      <c r="B7" s="111" t="s">
        <v>352</v>
      </c>
      <c r="C7" s="228">
        <f>IF('Entrée des données'!$H$4="R", VLOOKUP(B7,'FICHE MAÎTRESSE - H. RÉSIDUELLE'!$C$6:$H$45,3,FALSE),IF('Entrée des données'!$H$4="D",IFERROR(VLOOKUP(B7,'FICHE MAÎTRESSE - H. DISTILLÉE'!$C$6:$H$49,3,FALSE),"Huile résiduelle seulement")))</f>
        <v>2.3965309214286371E-2</v>
      </c>
      <c r="D7" s="113" t="s">
        <v>353</v>
      </c>
      <c r="E7" s="114" t="str">
        <f>IF('Entrée des données'!$H$4="R", VLOOKUP(B7,'FICHE MAÎTRESSE - H. RÉSIDUELLE'!$C$6:$H$45,4,FALSE),IF('Entrée des données'!$H$4="D",IFERROR(VLOOKUP(B7,'FICHE MAÎTRESSE - H. DISTILLÉE'!$C$6:$H$49,4,FALSE),"Huile résiduelle seulement")))</f>
        <v>E</v>
      </c>
      <c r="F7" s="115">
        <f>'Entrée des données'!$B$33</f>
        <v>0</v>
      </c>
      <c r="G7" s="116">
        <f>IF('Entrée des données'!$H$4="R", VLOOKUP(B7,'FICHE MAÎTRESSE - H. RÉSIDUELLE'!$C$6:$H$45,6,FALSE)/1000,IF('Entrée des données'!$H$4="D",IFERROR(VLOOKUP(B7,'FICHE MAÎTRESSE - H. DISTILLÉE'!$C$6:$H$49,6,FALSE)/1000,"Huile résiduelle seulement")))</f>
        <v>0</v>
      </c>
      <c r="H7" s="117" t="s">
        <v>705</v>
      </c>
    </row>
    <row r="8" spans="1:8" s="118" customFormat="1" ht="15" customHeight="1">
      <c r="A8" s="119" t="s">
        <v>717</v>
      </c>
      <c r="B8" s="111" t="s">
        <v>354</v>
      </c>
      <c r="C8" s="112">
        <f>IF('Entrée des données'!$H$4="R", VLOOKUP(B8,'FICHE MAÎTRESSE - H. RÉSIDUELLE'!$C$6:$H$45,3,FALSE),IF('Entrée des données'!$H$4="D",IFERROR(VLOOKUP(B8,'FICHE MAÎTRESSE - H. DISTILLÉE'!$C$6:$H$49,3,FALSE),"Huile résiduelle seulement")))</f>
        <v>0.23965309214286368</v>
      </c>
      <c r="D8" s="113" t="s">
        <v>355</v>
      </c>
      <c r="E8" s="114" t="str">
        <f>IF('Entrée des données'!$H$4="R", VLOOKUP(B8,'FICHE MAÎTRESSE - H. RÉSIDUELLE'!$C$6:$H$45,4,FALSE),IF('Entrée des données'!$H$4="D",IFERROR(VLOOKUP(B8,'FICHE MAÎTRESSE - H. DISTILLÉE'!$C$6:$H$49,4,FALSE),"Huile résiduelle seulement")))</f>
        <v>A</v>
      </c>
      <c r="F8" s="115">
        <f>'Entrée des données'!$B$33</f>
        <v>0</v>
      </c>
      <c r="G8" s="116">
        <f>IF('Entrée des données'!$H$4="R", VLOOKUP(B8,'FICHE MAÎTRESSE - H. RÉSIDUELLE'!$C$6:$H$45,6,FALSE)/1000,IF('Entrée des données'!$H$4="D",IFERROR(VLOOKUP(B8,'FICHE MAÎTRESSE - H. DISTILLÉE'!$C$6:$H$49,6,FALSE)/1000,"Huile résiduelle seulement")))</f>
        <v>0</v>
      </c>
      <c r="H8" s="117" t="s">
        <v>705</v>
      </c>
    </row>
    <row r="9" spans="1:8" s="118" customFormat="1" ht="15" customHeight="1">
      <c r="A9" s="120" t="s">
        <v>718</v>
      </c>
      <c r="B9" s="111" t="s">
        <v>356</v>
      </c>
      <c r="C9" s="112">
        <f>IF('Entrée des données'!$H$4="R", VLOOKUP(B9,'FICHE MAÎTRESSE - H. RÉSIDUELLE'!$C$6:$H$45,3,FALSE),IF('Entrée des données'!$H$4="D",IFERROR(VLOOKUP(B9,'FICHE MAÎTRESSE - H. DISTILLÉE'!$C$6:$H$49,3,FALSE),"Huile résiduelle seulement")))</f>
        <v>0.11982654607143184</v>
      </c>
      <c r="D9" s="113" t="s">
        <v>357</v>
      </c>
      <c r="E9" s="114" t="str">
        <f>IF('Entrée des données'!$H$4="R", VLOOKUP(B9,'FICHE MAÎTRESSE - H. RÉSIDUELLE'!$C$6:$H$45,4,FALSE),IF('Entrée des données'!$H$4="D",IFERROR(VLOOKUP(B9,'FICHE MAÎTRESSE - H. DISTILLÉE'!$C$6:$H$49,4,FALSE),"Huile résiduelle seulement")))</f>
        <v>E</v>
      </c>
      <c r="F9" s="115">
        <f>'Entrée des données'!$B$33</f>
        <v>0</v>
      </c>
      <c r="G9" s="116">
        <f>IF('Entrée des données'!$H$4="R", VLOOKUP(B9,'FICHE MAÎTRESSE - H. RÉSIDUELLE'!$C$6:$H$45,6,FALSE)/1000,IF('Entrée des données'!$H$4="D",IFERROR(VLOOKUP(B9,'FICHE MAÎTRESSE - H. DISTILLÉE'!$C$6:$H$49,6,FALSE)/1000,"Huile résiduelle seulement")))</f>
        <v>0</v>
      </c>
      <c r="H9" s="117" t="s">
        <v>705</v>
      </c>
    </row>
    <row r="10" spans="1:8" s="118" customFormat="1" ht="15" customHeight="1">
      <c r="A10" s="120" t="s">
        <v>719</v>
      </c>
      <c r="B10" s="111" t="s">
        <v>358</v>
      </c>
      <c r="C10" s="112">
        <f>IF('Entrée des données'!$H$4="R", VLOOKUP(B10,'FICHE MAÎTRESSE - H. RÉSIDUELLE'!$C$6:$H$45,3,FALSE),IF('Entrée des données'!$H$4="D",IFERROR(VLOOKUP(B10,'FICHE MAÎTRESSE - H. DISTILLÉE'!$C$6:$H$49,3,FALSE),"Huile résiduelle seulement")))</f>
        <v>2.995663651785796E-2</v>
      </c>
      <c r="D10" s="113" t="s">
        <v>359</v>
      </c>
      <c r="E10" s="114" t="str">
        <f>IF('Entrée des données'!$H$4="R", VLOOKUP(B10,'FICHE MAÎTRESSE - H. RÉSIDUELLE'!$C$6:$H$45,4,FALSE),IF('Entrée des données'!$H$4="D",IFERROR(VLOOKUP(B10,'FICHE MAÎTRESSE - H. DISTILLÉE'!$C$6:$H$49,4,FALSE),"Huile résiduelle seulement")))</f>
        <v>E</v>
      </c>
      <c r="F10" s="115">
        <f>'Entrée des données'!$B$33</f>
        <v>0</v>
      </c>
      <c r="G10" s="116">
        <f>IF('Entrée des données'!$H$4="R", VLOOKUP(B10,'FICHE MAÎTRESSE - H. RÉSIDUELLE'!$C$6:$H$45,6,FALSE)/1000,IF('Entrée des données'!$H$4="D",IFERROR(VLOOKUP(B10,'FICHE MAÎTRESSE - H. DISTILLÉE'!$C$6:$H$49,6,FALSE)/1000,"Huile résiduelle seulement")))</f>
        <v>0</v>
      </c>
      <c r="H10" s="117" t="s">
        <v>705</v>
      </c>
    </row>
    <row r="11" spans="1:8" ht="6" customHeight="1">
      <c r="A11" s="75"/>
      <c r="B11" s="103"/>
      <c r="C11" s="103"/>
      <c r="D11" s="103"/>
      <c r="E11" s="103"/>
      <c r="F11" s="103"/>
      <c r="G11" s="103"/>
      <c r="H11" s="103"/>
    </row>
    <row r="12" spans="1:8">
      <c r="A12" s="75" t="s">
        <v>360</v>
      </c>
    </row>
  </sheetData>
  <sheetProtection password="CA53" sheet="1" objects="1" scenarios="1"/>
  <phoneticPr fontId="22" type="noConversion"/>
  <pageMargins left="0.7" right="0.7" top="0.75" bottom="0.75" header="0.3" footer="0.3"/>
  <pageSetup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9"/>
  <sheetViews>
    <sheetView zoomScale="115" zoomScaleNormal="115" workbookViewId="0"/>
  </sheetViews>
  <sheetFormatPr defaultColWidth="9.5703125" defaultRowHeight="12.75"/>
  <cols>
    <col min="1" max="1" width="26.42578125" style="62" customWidth="1"/>
    <col min="2" max="2" width="14.28515625" style="62" bestFit="1" customWidth="1"/>
    <col min="3" max="3" width="22.42578125" style="62" bestFit="1" customWidth="1"/>
    <col min="4" max="4" width="12.28515625" style="62" bestFit="1" customWidth="1"/>
    <col min="5" max="5" width="10.85546875" style="62" bestFit="1" customWidth="1"/>
    <col min="6" max="6" width="42.140625" style="62" bestFit="1" customWidth="1"/>
    <col min="7" max="7" width="12.85546875" style="62" bestFit="1" customWidth="1"/>
    <col min="8" max="8" width="10.7109375" style="62" customWidth="1"/>
    <col min="9" max="16384" width="9.5703125" style="62"/>
  </cols>
  <sheetData>
    <row r="1" spans="1:8">
      <c r="A1" s="106" t="s">
        <v>136</v>
      </c>
      <c r="H1" s="68"/>
    </row>
    <row r="2" spans="1:8">
      <c r="H2" s="68"/>
    </row>
    <row r="3" spans="1:8" s="108" customFormat="1" ht="17.45" customHeight="1">
      <c r="A3" s="107" t="s">
        <v>361</v>
      </c>
      <c r="B3" s="70" t="s">
        <v>362</v>
      </c>
      <c r="C3" s="70" t="s">
        <v>363</v>
      </c>
      <c r="D3" s="70" t="s">
        <v>704</v>
      </c>
      <c r="E3" s="70" t="s">
        <v>364</v>
      </c>
      <c r="F3" s="70" t="s">
        <v>365</v>
      </c>
      <c r="G3" s="70" t="s">
        <v>366</v>
      </c>
      <c r="H3" s="70" t="s">
        <v>702</v>
      </c>
    </row>
    <row r="4" spans="1:8" s="108" customFormat="1" ht="17.45" customHeight="1">
      <c r="A4" s="109" t="s">
        <v>367</v>
      </c>
      <c r="B4" s="64" t="s">
        <v>368</v>
      </c>
      <c r="C4" s="99">
        <f>IF('Entrée des données'!$H$4="R", VLOOKUP(B4,'FICHE MAÎTRESSE - H. RÉSIDUELLE'!$C$6:$H$45,3,FALSE),IF('Entrée des données'!$H$4="D",IFERROR(VLOOKUP(B4,'FICHE MAÎTRESSE - H. DISTILLÉE'!$C$6:$H$49,3,FALSE),"Huile résiduelle seulement")))</f>
        <v>2.5642880859286414E-5</v>
      </c>
      <c r="D4" s="79" t="s">
        <v>369</v>
      </c>
      <c r="E4" s="100" t="str">
        <f>IF('Entrée des données'!$H$4="R", VLOOKUP(B4,'FICHE MAÎTRESSE - H. RÉSIDUELLE'!$C$6:$H$45,4,FALSE),IF('Entrée des données'!$H$4="D",IFERROR(VLOOKUP(B4,'FICHE MAÎTRESSE - H. DISTILLÉE'!$C$6:$H$49,4,FALSE),"Huile résiduelle seulement")))</f>
        <v>C</v>
      </c>
      <c r="F4" s="101">
        <f>'Entrée des données'!$B$33</f>
        <v>0</v>
      </c>
      <c r="G4" s="74">
        <f>IF('Entrée des données'!$H$4="R", VLOOKUP(B4,'FICHE MAÎTRESSE - H. RÉSIDUELLE'!$C$6:$H$45,6,FALSE)/1000,IF('Entrée des données'!$H$4="D",IFERROR(VLOOKUP(B4,'FICHE MAÎTRESSE - H. DISTILLÉE'!$C$6:$H$49,6,FALSE)/1000,"Huile résiduelle seulement")))</f>
        <v>0</v>
      </c>
      <c r="H4" s="102" t="s">
        <v>705</v>
      </c>
    </row>
    <row r="5" spans="1:8" s="108" customFormat="1" ht="17.45" customHeight="1">
      <c r="A5" s="109" t="s">
        <v>370</v>
      </c>
      <c r="B5" s="64" t="s">
        <v>371</v>
      </c>
      <c r="C5" s="99">
        <f>IF('Entrée des données'!$H$4="R", VLOOKUP(B5,'FICHE MAÎTRESSE - H. RÉSIDUELLE'!$C$6:$H$45,3,FALSE),IF('Entrée des données'!$H$4="D",IFERROR(VLOOKUP(B5,'FICHE MAÎTRESSE - H. DISTILLÉE'!$C$6:$H$49,3,FALSE),"Huile résiduelle seulement")))</f>
        <v>5.7516742114287287E-3</v>
      </c>
      <c r="D5" s="79" t="s">
        <v>372</v>
      </c>
      <c r="E5" s="100" t="str">
        <f>IF('Entrée des données'!$H$4="R", VLOOKUP(B5,'FICHE MAÎTRESSE - H. RÉSIDUELLE'!$C$6:$H$45,4,FALSE),IF('Entrée des données'!$H$4="D",IFERROR(VLOOKUP(B5,'FICHE MAÎTRESSE - H. DISTILLÉE'!$C$6:$H$49,4,FALSE),"Huile résiduelle seulement")))</f>
        <v>E</v>
      </c>
      <c r="F5" s="101">
        <f>'Entrée des données'!$B$33</f>
        <v>0</v>
      </c>
      <c r="G5" s="74">
        <f>IF('Entrée des données'!$H$4="R", VLOOKUP(B5,'FICHE MAÎTRESSE - H. RÉSIDUELLE'!$C$6:$H$45,6,FALSE)/1000,IF('Entrée des données'!$H$4="D",IFERROR(VLOOKUP(B5,'FICHE MAÎTRESSE - H. DISTILLÉE'!$C$6:$H$49,6,FALSE)/1000,"Huile résiduelle seulement")))</f>
        <v>0</v>
      </c>
      <c r="H5" s="102" t="s">
        <v>705</v>
      </c>
    </row>
    <row r="6" spans="1:8" s="108" customFormat="1" ht="17.45" customHeight="1">
      <c r="A6" s="109" t="s">
        <v>373</v>
      </c>
      <c r="B6" s="64" t="s">
        <v>374</v>
      </c>
      <c r="C6" s="99">
        <f>IF('Entrée des données'!$H$4="R", VLOOKUP(B6,'FICHE MAÎTRESSE - H. RÉSIDUELLE'!$C$6:$H$45,3,FALSE),IF('Entrée des données'!$H$4="D",IFERROR(VLOOKUP(B6,'FICHE MAÎTRESSE - H. DISTILLÉE'!$C$6:$H$49,3,FALSE),"Huile résiduelle seulement")))</f>
        <v>7.4292458564287735E-4</v>
      </c>
      <c r="D6" s="79" t="s">
        <v>375</v>
      </c>
      <c r="E6" s="100" t="str">
        <f>IF('Entrée des données'!$H$4="R", VLOOKUP(B6,'FICHE MAÎTRESSE - H. RÉSIDUELLE'!$C$6:$H$45,4,FALSE),IF('Entrée des données'!$H$4="D",IFERROR(VLOOKUP(B6,'FICHE MAÎTRESSE - H. DISTILLÉE'!$C$6:$H$49,4,FALSE),"Huile résiduelle seulement")))</f>
        <v>D</v>
      </c>
      <c r="F6" s="101">
        <f>'Entrée des données'!$B$33</f>
        <v>0</v>
      </c>
      <c r="G6" s="74">
        <f>IF('Entrée des données'!$H$4="R", VLOOKUP(B6,'FICHE MAÎTRESSE - H. RÉSIDUELLE'!$C$6:$H$45,6,FALSE)/1000,IF('Entrée des données'!$H$4="D",IFERROR(VLOOKUP(B6,'FICHE MAÎTRESSE - H. DISTILLÉE'!$C$6:$H$49,6,FALSE)/1000,"Huile résiduelle seulement")))</f>
        <v>0</v>
      </c>
      <c r="H6" s="102" t="s">
        <v>705</v>
      </c>
    </row>
    <row r="7" spans="1:8" s="108" customFormat="1" ht="17.45" customHeight="1">
      <c r="A7" s="109" t="s">
        <v>153</v>
      </c>
      <c r="B7" s="64" t="s">
        <v>376</v>
      </c>
      <c r="C7" s="99">
        <f>IF('Entrée des données'!$H$4="R", VLOOKUP(B7,'FICHE MAÎTRESSE - H. RÉSIDUELLE'!$C$6:$H$45,3,FALSE),IF('Entrée des données'!$H$4="D",IFERROR(VLOOKUP(B7,'FICHE MAÎTRESSE - H. DISTILLÉE'!$C$6:$H$49,3,FALSE),"Huile résiduelle seulement")))</f>
        <v>1.3061093521786072E-5</v>
      </c>
      <c r="D7" s="79" t="s">
        <v>377</v>
      </c>
      <c r="E7" s="100" t="str">
        <f>IF('Entrée des données'!$H$4="R", VLOOKUP(B7,'FICHE MAÎTRESSE - H. RÉSIDUELLE'!$C$6:$H$45,4,FALSE),IF('Entrée des données'!$H$4="D",IFERROR(VLOOKUP(B7,'FICHE MAÎTRESSE - H. DISTILLÉE'!$C$6:$H$49,4,FALSE),"Huile résiduelle seulement")))</f>
        <v>E</v>
      </c>
      <c r="F7" s="101">
        <f>'Entrée des données'!$B$33</f>
        <v>0</v>
      </c>
      <c r="G7" s="74">
        <f>IF('Entrée des données'!$H$4="R", VLOOKUP(B7,'FICHE MAÎTRESSE - H. RÉSIDUELLE'!$C$6:$H$45,6,FALSE)/1000,IF('Entrée des données'!$H$4="D",IFERROR(VLOOKUP(B7,'FICHE MAÎTRESSE - H. DISTILLÉE'!$C$6:$H$49,6,FALSE)/1000,"Huile résiduelle seulement")))</f>
        <v>0</v>
      </c>
      <c r="H7" s="102" t="s">
        <v>705</v>
      </c>
    </row>
    <row r="8" spans="1:8" s="108" customFormat="1" ht="6" customHeight="1">
      <c r="A8" s="110"/>
      <c r="B8" s="83"/>
      <c r="C8" s="103"/>
      <c r="D8" s="103"/>
      <c r="E8" s="103"/>
      <c r="F8" s="103"/>
      <c r="G8" s="103"/>
      <c r="H8" s="103"/>
    </row>
    <row r="9" spans="1:8">
      <c r="A9" s="75" t="s">
        <v>378</v>
      </c>
    </row>
  </sheetData>
  <sheetProtection password="CA53" sheet="1" objects="1" scenarios="1"/>
  <pageMargins left="0.7" right="0.7" top="0.75" bottom="0.75" header="0.3" footer="0.3"/>
  <pageSetup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115" zoomScaleNormal="115" workbookViewId="0"/>
  </sheetViews>
  <sheetFormatPr defaultColWidth="9.5703125" defaultRowHeight="12.75"/>
  <cols>
    <col min="1" max="1" width="25.5703125" style="62" customWidth="1"/>
    <col min="2" max="2" width="12.5703125" style="62" bestFit="1" customWidth="1"/>
    <col min="3" max="3" width="15.42578125" style="62" bestFit="1" customWidth="1"/>
    <col min="4" max="4" width="22.42578125" style="62" bestFit="1" customWidth="1"/>
    <col min="5" max="5" width="12.28515625" style="62" bestFit="1" customWidth="1"/>
    <col min="6" max="6" width="10.85546875" style="62" bestFit="1" customWidth="1"/>
    <col min="7" max="7" width="42.140625" style="62" bestFit="1" customWidth="1"/>
    <col min="8" max="8" width="23.140625" style="62" bestFit="1" customWidth="1"/>
    <col min="9" max="9" width="12.85546875" style="62" bestFit="1" customWidth="1"/>
    <col min="10" max="10" width="9.85546875" style="62" customWidth="1"/>
    <col min="11" max="16384" width="9.5703125" style="62"/>
  </cols>
  <sheetData>
    <row r="1" spans="1:10">
      <c r="A1" s="106" t="s">
        <v>748</v>
      </c>
      <c r="B1" s="106"/>
      <c r="C1" s="106"/>
      <c r="D1" s="106"/>
      <c r="E1" s="106"/>
      <c r="J1" s="68"/>
    </row>
    <row r="2" spans="1:10" ht="8.25" customHeight="1">
      <c r="A2" s="106"/>
      <c r="B2" s="106"/>
      <c r="C2" s="106"/>
      <c r="D2" s="106"/>
      <c r="E2" s="106"/>
      <c r="J2" s="68"/>
    </row>
    <row r="3" spans="1:10">
      <c r="A3" s="75" t="s">
        <v>749</v>
      </c>
      <c r="B3" s="106"/>
      <c r="C3" s="106"/>
      <c r="D3" s="106"/>
      <c r="E3" s="106"/>
      <c r="J3" s="68"/>
    </row>
    <row r="4" spans="1:10" ht="9.75" customHeight="1">
      <c r="J4" s="68"/>
    </row>
    <row r="5" spans="1:10" ht="15" customHeight="1">
      <c r="A5" s="50" t="s">
        <v>379</v>
      </c>
      <c r="B5" s="70" t="s">
        <v>380</v>
      </c>
      <c r="C5" s="70" t="s">
        <v>184</v>
      </c>
      <c r="D5" s="70" t="s">
        <v>381</v>
      </c>
      <c r="E5" s="70" t="s">
        <v>704</v>
      </c>
      <c r="F5" s="70" t="s">
        <v>382</v>
      </c>
      <c r="G5" s="70" t="s">
        <v>383</v>
      </c>
      <c r="H5" s="70" t="s">
        <v>709</v>
      </c>
      <c r="I5" s="70" t="s">
        <v>384</v>
      </c>
      <c r="J5" s="70" t="s">
        <v>702</v>
      </c>
    </row>
    <row r="6" spans="1:10" ht="15" customHeight="1">
      <c r="A6" s="231"/>
      <c r="B6" s="232"/>
      <c r="C6" s="232"/>
      <c r="D6" s="233"/>
      <c r="E6" s="234"/>
      <c r="F6" s="232"/>
      <c r="G6" s="73">
        <f>'Entrée des données'!$B$33</f>
        <v>0</v>
      </c>
      <c r="H6" s="202" t="s">
        <v>385</v>
      </c>
      <c r="I6" s="235"/>
      <c r="J6" s="234"/>
    </row>
    <row r="7" spans="1:10" ht="15" customHeight="1">
      <c r="A7" s="231"/>
      <c r="B7" s="232"/>
      <c r="C7" s="232"/>
      <c r="D7" s="233"/>
      <c r="E7" s="234"/>
      <c r="F7" s="232"/>
      <c r="G7" s="73">
        <f>'Entrée des données'!$B$33</f>
        <v>0</v>
      </c>
      <c r="H7" s="202" t="s">
        <v>386</v>
      </c>
      <c r="I7" s="235"/>
      <c r="J7" s="234"/>
    </row>
    <row r="8" spans="1:10" ht="15" customHeight="1">
      <c r="A8" s="231"/>
      <c r="B8" s="232"/>
      <c r="C8" s="232"/>
      <c r="D8" s="233"/>
      <c r="E8" s="234"/>
      <c r="F8" s="232"/>
      <c r="G8" s="73">
        <f>'Entrée des données'!$B$33</f>
        <v>0</v>
      </c>
      <c r="H8" s="202" t="s">
        <v>387</v>
      </c>
      <c r="I8" s="235"/>
      <c r="J8" s="234"/>
    </row>
    <row r="9" spans="1:10" ht="15" customHeight="1">
      <c r="A9" s="231"/>
      <c r="B9" s="232"/>
      <c r="C9" s="232"/>
      <c r="D9" s="233"/>
      <c r="E9" s="234"/>
      <c r="F9" s="232"/>
      <c r="G9" s="73">
        <f>'Entrée des données'!$B$33</f>
        <v>0</v>
      </c>
      <c r="H9" s="202" t="s">
        <v>388</v>
      </c>
      <c r="I9" s="235"/>
      <c r="J9" s="234"/>
    </row>
    <row r="10" spans="1:10" ht="15" customHeight="1">
      <c r="A10" s="231"/>
      <c r="B10" s="232"/>
      <c r="C10" s="232"/>
      <c r="D10" s="233"/>
      <c r="E10" s="234"/>
      <c r="F10" s="232"/>
      <c r="G10" s="73">
        <f>'Entrée des données'!$B$33</f>
        <v>0</v>
      </c>
      <c r="H10" s="202" t="s">
        <v>389</v>
      </c>
      <c r="I10" s="235"/>
      <c r="J10" s="234"/>
    </row>
    <row r="11" spans="1:10" ht="6" customHeight="1">
      <c r="A11" s="75"/>
      <c r="B11" s="76"/>
      <c r="C11" s="76"/>
      <c r="D11" s="76"/>
      <c r="E11" s="76"/>
      <c r="F11" s="76"/>
      <c r="G11" s="76"/>
      <c r="H11" s="76"/>
      <c r="I11" s="76"/>
      <c r="J11" s="76"/>
    </row>
    <row r="12" spans="1:10" ht="6" customHeight="1">
      <c r="A12" s="75"/>
      <c r="B12" s="76"/>
      <c r="C12" s="76"/>
      <c r="D12" s="76"/>
      <c r="E12" s="76"/>
      <c r="F12" s="76"/>
      <c r="G12" s="76"/>
      <c r="H12" s="76"/>
      <c r="I12" s="76"/>
      <c r="J12" s="76"/>
    </row>
    <row r="13" spans="1:10">
      <c r="A13" s="75" t="s">
        <v>390</v>
      </c>
    </row>
  </sheetData>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1"/>
  <sheetViews>
    <sheetView zoomScaleNormal="100" workbookViewId="0">
      <selection activeCell="B2" sqref="B2"/>
    </sheetView>
  </sheetViews>
  <sheetFormatPr defaultColWidth="9.5703125" defaultRowHeight="14.25"/>
  <cols>
    <col min="1" max="1" width="1.5703125" style="138" customWidth="1"/>
    <col min="2" max="2" width="62.42578125" style="138" customWidth="1"/>
    <col min="3" max="5" width="22.7109375" style="138" customWidth="1"/>
    <col min="6" max="6" width="19.28515625" style="138" customWidth="1"/>
    <col min="7" max="7" width="21.42578125" style="138" customWidth="1"/>
    <col min="8" max="8" width="23.5703125" style="138" customWidth="1"/>
    <col min="9" max="9" width="3.7109375" style="138" customWidth="1"/>
    <col min="10" max="10" width="4.5703125" style="138" customWidth="1"/>
    <col min="11" max="11" width="11.28515625" style="138" customWidth="1"/>
    <col min="12" max="16384" width="9.5703125" style="138"/>
  </cols>
  <sheetData>
    <row r="2" spans="2:12" ht="26.25" customHeight="1">
      <c r="B2" s="137" t="s">
        <v>38</v>
      </c>
    </row>
    <row r="3" spans="2:12" ht="5.25" customHeight="1"/>
    <row r="4" spans="2:12" ht="36" customHeight="1">
      <c r="B4" s="303" t="s">
        <v>19</v>
      </c>
      <c r="C4" s="302" t="s">
        <v>391</v>
      </c>
      <c r="D4" s="304" t="s">
        <v>20</v>
      </c>
      <c r="E4" s="304"/>
      <c r="F4" s="305" t="s">
        <v>145</v>
      </c>
      <c r="G4" s="139" t="s">
        <v>99</v>
      </c>
      <c r="H4" s="139" t="s">
        <v>100</v>
      </c>
      <c r="K4" s="305" t="s">
        <v>34</v>
      </c>
      <c r="L4" s="305" t="s">
        <v>35</v>
      </c>
    </row>
    <row r="5" spans="2:12" ht="16.5">
      <c r="B5" s="303"/>
      <c r="C5" s="302"/>
      <c r="D5" s="149" t="s">
        <v>167</v>
      </c>
      <c r="E5" s="149" t="s">
        <v>168</v>
      </c>
      <c r="F5" s="306"/>
      <c r="G5" s="140" t="s">
        <v>21</v>
      </c>
      <c r="H5" s="141" t="s">
        <v>392</v>
      </c>
      <c r="K5" s="306"/>
      <c r="L5" s="306"/>
    </row>
    <row r="6" spans="2:12" ht="18.75">
      <c r="B6" s="142" t="s">
        <v>169</v>
      </c>
      <c r="C6" s="143" t="s">
        <v>393</v>
      </c>
      <c r="D6" s="144" t="str">
        <f>IF('Entrée des données'!$H$4="R",F56,"Fiche maîtresse - huile distillée")</f>
        <v>Fiche maîtresse - huile distillée</v>
      </c>
      <c r="E6" s="145" t="str">
        <f>IFERROR(D6*(264.172/2.20462/1000),"")</f>
        <v/>
      </c>
      <c r="F6" s="146" t="s">
        <v>147</v>
      </c>
      <c r="G6" s="147" t="str">
        <f>IF(E6="","",'Entrée des données'!$B$33*E6)</f>
        <v/>
      </c>
      <c r="H6" s="148" t="str">
        <f>IFERROR((1-('Entrée des données'!D59/100))*G6,"")</f>
        <v/>
      </c>
      <c r="K6" s="149">
        <v>4</v>
      </c>
      <c r="L6" s="149" t="s">
        <v>36</v>
      </c>
    </row>
    <row r="7" spans="2:12" ht="18.75">
      <c r="B7" s="142" t="s">
        <v>710</v>
      </c>
      <c r="C7" s="143" t="s">
        <v>394</v>
      </c>
      <c r="D7" s="144" t="str">
        <f>IF('Entrée des données'!$H$4="R",F57,"Fiche maîtresse - huile distillée")</f>
        <v>Fiche maîtresse - huile distillée</v>
      </c>
      <c r="E7" s="145" t="str">
        <f t="shared" ref="E7:E12" si="0">IFERROR(D7*(264.172/2.20462/1000),"")</f>
        <v/>
      </c>
      <c r="F7" s="146" t="s">
        <v>395</v>
      </c>
      <c r="G7" s="147" t="str">
        <f>IF(E7="","",'Entrée des données'!$B$33*E7)</f>
        <v/>
      </c>
      <c r="H7" s="148" t="str">
        <f>IFERROR((1-('Entrée des données'!D55/100))*G7,"")</f>
        <v/>
      </c>
      <c r="K7" s="149">
        <v>4</v>
      </c>
      <c r="L7" s="149" t="s">
        <v>36</v>
      </c>
    </row>
    <row r="8" spans="2:12" ht="15">
      <c r="B8" s="142" t="s">
        <v>396</v>
      </c>
      <c r="C8" s="143" t="s">
        <v>397</v>
      </c>
      <c r="D8" s="144" t="str">
        <f>IF('Entrée des données'!$H$4="R",F58,"Fiche maîtresse - huile distillée")</f>
        <v>Fiche maîtresse - huile distillée</v>
      </c>
      <c r="E8" s="145" t="str">
        <f t="shared" si="0"/>
        <v/>
      </c>
      <c r="F8" s="146" t="s">
        <v>398</v>
      </c>
      <c r="G8" s="147" t="str">
        <f>IF(E8="","",'Entrée des données'!$B$33*E8)</f>
        <v/>
      </c>
      <c r="H8" s="148" t="str">
        <f>IFERROR((1-('Entrée des données'!D63/100))*G8,"")</f>
        <v/>
      </c>
      <c r="K8" s="149">
        <v>4</v>
      </c>
      <c r="L8" s="149" t="s">
        <v>36</v>
      </c>
    </row>
    <row r="9" spans="2:12" ht="15">
      <c r="B9" s="142" t="s">
        <v>717</v>
      </c>
      <c r="C9" s="143" t="s">
        <v>399</v>
      </c>
      <c r="D9" s="144" t="str">
        <f>IF('Entrée des données'!$H$4="R",F59,"Fiche maîtresse - huile distillée")</f>
        <v>Fiche maîtresse - huile distillée</v>
      </c>
      <c r="E9" s="145" t="str">
        <f t="shared" si="0"/>
        <v/>
      </c>
      <c r="F9" s="150" t="str">
        <f>F60</f>
        <v>B</v>
      </c>
      <c r="G9" s="147" t="str">
        <f>IF(E9="","",'Entrée des données'!$B$33*E9)</f>
        <v/>
      </c>
      <c r="H9" s="148" t="str">
        <f>IFERROR((1-('Entrée des données'!$D$67/100))*G9,"")</f>
        <v/>
      </c>
      <c r="K9" s="149">
        <v>4</v>
      </c>
      <c r="L9" s="149" t="s">
        <v>36</v>
      </c>
    </row>
    <row r="10" spans="2:12" ht="18.75">
      <c r="B10" s="151" t="s">
        <v>723</v>
      </c>
      <c r="C10" s="152" t="s">
        <v>400</v>
      </c>
      <c r="D10" s="153" t="str">
        <f>IF('Entrée des données'!$H$4="R",G79,"Fiche maîtresse - huile distillée")</f>
        <v>Fiche maîtresse - huile distillée</v>
      </c>
      <c r="E10" s="145" t="str">
        <f t="shared" si="0"/>
        <v/>
      </c>
      <c r="F10" s="150" t="str">
        <f>G80</f>
        <v>D</v>
      </c>
      <c r="G10" s="147" t="str">
        <f>IF(E10="","",'Entrée des données'!$B$33*E10)</f>
        <v/>
      </c>
      <c r="H10" s="148" t="str">
        <f>IFERROR((1-('Entrée des données'!$D$67/100))*G10,"")</f>
        <v/>
      </c>
      <c r="K10" s="149">
        <v>4</v>
      </c>
      <c r="L10" s="149" t="s">
        <v>36</v>
      </c>
    </row>
    <row r="11" spans="2:12" ht="18.75">
      <c r="B11" s="151" t="s">
        <v>724</v>
      </c>
      <c r="C11" s="152" t="s">
        <v>401</v>
      </c>
      <c r="D11" s="153" t="str">
        <f>IF('Entrée des données'!$H$4="R",G88,"Fiche maîtresse - huile distillée")</f>
        <v>Fiche maîtresse - huile distillée</v>
      </c>
      <c r="E11" s="145" t="str">
        <f t="shared" si="0"/>
        <v/>
      </c>
      <c r="F11" s="150" t="str">
        <f>G89</f>
        <v>D</v>
      </c>
      <c r="G11" s="147" t="str">
        <f>IF(E11="","",'Entrée des données'!$B$33*E11)</f>
        <v/>
      </c>
      <c r="H11" s="148" t="str">
        <f>IFERROR((1-('Entrée des données'!$D$67/100))*G11,"")</f>
        <v/>
      </c>
      <c r="K11" s="149">
        <v>4</v>
      </c>
      <c r="L11" s="149" t="s">
        <v>36</v>
      </c>
    </row>
    <row r="12" spans="2:12" ht="15">
      <c r="B12" s="142" t="s">
        <v>742</v>
      </c>
      <c r="C12" s="154" t="s">
        <v>402</v>
      </c>
      <c r="D12" s="153" t="str">
        <f>IF('Entrée des données'!$H$4="R",G97,"Fiche maîtresse - huile distillée")</f>
        <v>Fiche maîtresse - huile distillée</v>
      </c>
      <c r="E12" s="145" t="str">
        <f t="shared" si="0"/>
        <v/>
      </c>
      <c r="F12" s="150" t="str">
        <f>G98</f>
        <v>A</v>
      </c>
      <c r="G12" s="147" t="str">
        <f>IF(E12="","",'Entrée des données'!$B$33*E12)</f>
        <v/>
      </c>
      <c r="H12" s="148" t="str">
        <f>G12</f>
        <v/>
      </c>
      <c r="K12" s="149">
        <v>4</v>
      </c>
      <c r="L12" s="149" t="s">
        <v>36</v>
      </c>
    </row>
    <row r="13" spans="2:12" ht="15">
      <c r="B13" s="155" t="s">
        <v>403</v>
      </c>
      <c r="C13" s="152" t="s">
        <v>404</v>
      </c>
      <c r="D13" s="156">
        <v>1.22E-6</v>
      </c>
      <c r="E13" s="145">
        <f t="shared" ref="E13:E44" si="1">D13*(264.172/2.20462/1000)</f>
        <v>1.4618838620714684E-7</v>
      </c>
      <c r="F13" s="146" t="s">
        <v>405</v>
      </c>
      <c r="G13" s="147">
        <f>'Entrée des données'!$B$33*'FICHE MAÎTRESSE - H. RÉSIDUELLE'!E13</f>
        <v>0</v>
      </c>
      <c r="H13" s="148">
        <f t="shared" ref="H13:H43" si="2">G13</f>
        <v>0</v>
      </c>
      <c r="K13" s="149">
        <v>2</v>
      </c>
      <c r="L13" s="149" t="s">
        <v>36</v>
      </c>
    </row>
    <row r="14" spans="2:12" ht="15">
      <c r="B14" s="155" t="s">
        <v>406</v>
      </c>
      <c r="C14" s="157" t="s">
        <v>407</v>
      </c>
      <c r="D14" s="156">
        <v>5.2500000000000003E-3</v>
      </c>
      <c r="E14" s="145">
        <f t="shared" si="1"/>
        <v>6.2908936687501723E-4</v>
      </c>
      <c r="F14" s="146" t="s">
        <v>148</v>
      </c>
      <c r="G14" s="147">
        <f>'Entrée des données'!$B$33*'FICHE MAÎTRESSE - H. RÉSIDUELLE'!E14</f>
        <v>0</v>
      </c>
      <c r="H14" s="148">
        <f>(1-('Entrée des données'!$D$67/100))*G14</f>
        <v>0</v>
      </c>
      <c r="K14" s="149" t="s">
        <v>736</v>
      </c>
      <c r="L14" s="149" t="s">
        <v>36</v>
      </c>
    </row>
    <row r="15" spans="2:12" ht="15">
      <c r="B15" s="155" t="s">
        <v>408</v>
      </c>
      <c r="C15" s="157" t="s">
        <v>409</v>
      </c>
      <c r="D15" s="156">
        <v>1.32E-3</v>
      </c>
      <c r="E15" s="145">
        <f t="shared" si="1"/>
        <v>1.5817104081429002E-4</v>
      </c>
      <c r="F15" s="146" t="s">
        <v>410</v>
      </c>
      <c r="G15" s="147">
        <f>'Entrée des données'!$B$33*'FICHE MAÎTRESSE - H. RÉSIDUELLE'!E15</f>
        <v>0</v>
      </c>
      <c r="H15" s="148">
        <f>(1-('Entrée des données'!$D$67/100))*G15</f>
        <v>0</v>
      </c>
      <c r="K15" s="149" t="s">
        <v>737</v>
      </c>
      <c r="L15" s="149" t="s">
        <v>36</v>
      </c>
    </row>
    <row r="16" spans="2:12" ht="15">
      <c r="B16" s="155" t="s">
        <v>411</v>
      </c>
      <c r="C16" s="157" t="s">
        <v>412</v>
      </c>
      <c r="D16" s="156">
        <v>2.14E-4</v>
      </c>
      <c r="E16" s="145">
        <f t="shared" si="1"/>
        <v>2.5642880859286414E-5</v>
      </c>
      <c r="F16" s="146" t="s">
        <v>413</v>
      </c>
      <c r="G16" s="147">
        <f>'Entrée des données'!$B$33*'FICHE MAÎTRESSE - H. RÉSIDUELLE'!E16</f>
        <v>0</v>
      </c>
      <c r="H16" s="148">
        <f t="shared" si="2"/>
        <v>0</v>
      </c>
      <c r="K16" s="149" t="s">
        <v>736</v>
      </c>
      <c r="L16" s="149">
        <v>5</v>
      </c>
    </row>
    <row r="17" spans="2:12" ht="15">
      <c r="B17" s="155" t="s">
        <v>414</v>
      </c>
      <c r="C17" s="157" t="s">
        <v>415</v>
      </c>
      <c r="D17" s="156">
        <v>4.0099999999999997E-6</v>
      </c>
      <c r="E17" s="145">
        <f t="shared" si="1"/>
        <v>4.8050444974644168E-7</v>
      </c>
      <c r="F17" s="146" t="s">
        <v>416</v>
      </c>
      <c r="G17" s="147">
        <f>'Entrée des données'!$B$33*'FICHE MAÎTRESSE - H. RÉSIDUELLE'!E17</f>
        <v>0</v>
      </c>
      <c r="H17" s="148">
        <f t="shared" si="2"/>
        <v>0</v>
      </c>
      <c r="K17" s="149">
        <v>2</v>
      </c>
      <c r="L17" s="149" t="s">
        <v>36</v>
      </c>
    </row>
    <row r="18" spans="2:12" ht="15">
      <c r="B18" s="155" t="s">
        <v>417</v>
      </c>
      <c r="C18" s="157" t="s">
        <v>418</v>
      </c>
      <c r="D18" s="156">
        <v>2.3800000000000001E-6</v>
      </c>
      <c r="E18" s="145">
        <f t="shared" si="1"/>
        <v>2.851871796500078E-7</v>
      </c>
      <c r="F18" s="146" t="s">
        <v>419</v>
      </c>
      <c r="G18" s="147">
        <f>'Entrée des données'!$B$33*'FICHE MAÎTRESSE - H. RÉSIDUELLE'!E18</f>
        <v>0</v>
      </c>
      <c r="H18" s="148">
        <f t="shared" si="2"/>
        <v>0</v>
      </c>
      <c r="K18" s="149">
        <v>2</v>
      </c>
      <c r="L18" s="149" t="s">
        <v>36</v>
      </c>
    </row>
    <row r="19" spans="2:12" ht="15">
      <c r="B19" s="155" t="s">
        <v>420</v>
      </c>
      <c r="C19" s="157" t="s">
        <v>421</v>
      </c>
      <c r="D19" s="156">
        <v>1.48E-6</v>
      </c>
      <c r="E19" s="145">
        <f t="shared" si="1"/>
        <v>1.7734328818571913E-7</v>
      </c>
      <c r="F19" s="146" t="s">
        <v>422</v>
      </c>
      <c r="G19" s="147">
        <f>'Entrée des données'!$B$33*'FICHE MAÎTRESSE - H. RÉSIDUELLE'!E19</f>
        <v>0</v>
      </c>
      <c r="H19" s="148">
        <f t="shared" si="2"/>
        <v>0</v>
      </c>
      <c r="K19" s="149">
        <v>2</v>
      </c>
      <c r="L19" s="149" t="s">
        <v>36</v>
      </c>
    </row>
    <row r="20" spans="2:12" ht="15">
      <c r="B20" s="155" t="s">
        <v>423</v>
      </c>
      <c r="C20" s="157" t="s">
        <v>424</v>
      </c>
      <c r="D20" s="156">
        <v>2.26E-6</v>
      </c>
      <c r="E20" s="145">
        <f t="shared" si="1"/>
        <v>2.7080799412143594E-7</v>
      </c>
      <c r="F20" s="146" t="s">
        <v>425</v>
      </c>
      <c r="G20" s="147">
        <f>'Entrée des données'!$B$33*'FICHE MAÎTRESSE - H. RÉSIDUELLE'!E20</f>
        <v>0</v>
      </c>
      <c r="H20" s="148">
        <f t="shared" si="2"/>
        <v>0</v>
      </c>
      <c r="K20" s="149">
        <v>2</v>
      </c>
      <c r="L20" s="149" t="s">
        <v>36</v>
      </c>
    </row>
    <row r="21" spans="2:12" ht="15">
      <c r="B21" s="155" t="s">
        <v>426</v>
      </c>
      <c r="C21" s="157" t="s">
        <v>427</v>
      </c>
      <c r="D21" s="156">
        <v>1.48E-6</v>
      </c>
      <c r="E21" s="145">
        <f t="shared" si="1"/>
        <v>1.7734328818571913E-7</v>
      </c>
      <c r="F21" s="146" t="s">
        <v>428</v>
      </c>
      <c r="G21" s="147">
        <f>'Entrée des données'!$B$33*'FICHE MAÎTRESSE - H. RÉSIDUELLE'!E21</f>
        <v>0</v>
      </c>
      <c r="H21" s="148">
        <f t="shared" si="2"/>
        <v>0</v>
      </c>
      <c r="K21" s="149">
        <v>2</v>
      </c>
      <c r="L21" s="149" t="s">
        <v>36</v>
      </c>
    </row>
    <row r="22" spans="2:12" ht="15">
      <c r="B22" s="155" t="s">
        <v>429</v>
      </c>
      <c r="C22" s="157" t="s">
        <v>430</v>
      </c>
      <c r="D22" s="156">
        <v>3.9800000000000002E-4</v>
      </c>
      <c r="E22" s="145">
        <f t="shared" si="1"/>
        <v>4.7690965336429878E-5</v>
      </c>
      <c r="F22" s="146" t="s">
        <v>431</v>
      </c>
      <c r="G22" s="147">
        <f>'Entrée des données'!$B$33*'FICHE MAÎTRESSE - H. RÉSIDUELLE'!E22</f>
        <v>0</v>
      </c>
      <c r="H22" s="148">
        <f>(1-('Entrée des données'!$D$67/100))*G22</f>
        <v>0</v>
      </c>
      <c r="K22" s="149" t="s">
        <v>737</v>
      </c>
      <c r="L22" s="149" t="s">
        <v>36</v>
      </c>
    </row>
    <row r="23" spans="2:12" ht="15">
      <c r="B23" s="155" t="s">
        <v>44</v>
      </c>
      <c r="C23" s="157" t="s">
        <v>432</v>
      </c>
      <c r="D23" s="156">
        <v>8.4500000000000005E-4</v>
      </c>
      <c r="E23" s="145">
        <f t="shared" si="1"/>
        <v>1.012534314303599E-4</v>
      </c>
      <c r="F23" s="146" t="s">
        <v>433</v>
      </c>
      <c r="G23" s="147">
        <f>'Entrée des données'!$B$33*'FICHE MAÎTRESSE - H. RÉSIDUELLE'!E23</f>
        <v>0</v>
      </c>
      <c r="H23" s="148">
        <f>(1-('Entrée des données'!$D$67/100))*G23</f>
        <v>0</v>
      </c>
      <c r="K23" s="149" t="s">
        <v>736</v>
      </c>
      <c r="L23" s="149" t="s">
        <v>36</v>
      </c>
    </row>
    <row r="24" spans="2:12" ht="15">
      <c r="B24" s="155" t="s">
        <v>434</v>
      </c>
      <c r="C24" s="157" t="s">
        <v>435</v>
      </c>
      <c r="D24" s="144">
        <v>6.0200000000000002E-3</v>
      </c>
      <c r="E24" s="145">
        <f t="shared" si="1"/>
        <v>7.2135580735001965E-4</v>
      </c>
      <c r="F24" s="146" t="s">
        <v>436</v>
      </c>
      <c r="G24" s="147">
        <f>'Entrée des données'!$B$33*'FICHE MAÎTRESSE - H. RÉSIDUELLE'!E24</f>
        <v>0</v>
      </c>
      <c r="H24" s="148">
        <f>(1-('Entrée des données'!$D$67/100))*G24</f>
        <v>0</v>
      </c>
      <c r="K24" s="149" t="s">
        <v>737</v>
      </c>
      <c r="L24" s="149" t="s">
        <v>36</v>
      </c>
    </row>
    <row r="25" spans="2:12" ht="15">
      <c r="B25" s="155" t="s">
        <v>437</v>
      </c>
      <c r="C25" s="157" t="s">
        <v>438</v>
      </c>
      <c r="D25" s="156">
        <v>1.7600000000000001E-3</v>
      </c>
      <c r="E25" s="145">
        <f t="shared" si="1"/>
        <v>2.1089472108572004E-4</v>
      </c>
      <c r="F25" s="146" t="s">
        <v>439</v>
      </c>
      <c r="G25" s="147">
        <f>'Entrée des données'!$B$33*'FICHE MAÎTRESSE - H. RÉSIDUELLE'!E25</f>
        <v>0</v>
      </c>
      <c r="H25" s="148">
        <f>(1-('Entrée des données'!$D$67/100))*G25</f>
        <v>0</v>
      </c>
      <c r="K25" s="149" t="s">
        <v>736</v>
      </c>
      <c r="L25" s="149" t="s">
        <v>36</v>
      </c>
    </row>
    <row r="26" spans="2:12" ht="15">
      <c r="B26" s="155" t="s">
        <v>440</v>
      </c>
      <c r="C26" s="157" t="s">
        <v>441</v>
      </c>
      <c r="D26" s="156">
        <v>1.6700000000000001E-6</v>
      </c>
      <c r="E26" s="145">
        <f t="shared" si="1"/>
        <v>2.0011033193929119E-7</v>
      </c>
      <c r="F26" s="146" t="s">
        <v>442</v>
      </c>
      <c r="G26" s="147">
        <f>'Entrée des données'!$B$33*'FICHE MAÎTRESSE - H. RÉSIDUELLE'!E26</f>
        <v>0</v>
      </c>
      <c r="H26" s="148">
        <f t="shared" si="2"/>
        <v>0</v>
      </c>
      <c r="K26" s="149">
        <v>2</v>
      </c>
      <c r="L26" s="149" t="s">
        <v>36</v>
      </c>
    </row>
    <row r="27" spans="2:12" ht="15">
      <c r="B27" s="155" t="s">
        <v>443</v>
      </c>
      <c r="C27" s="157" t="s">
        <v>444</v>
      </c>
      <c r="D27" s="156">
        <v>6.3600000000000001E-5</v>
      </c>
      <c r="E27" s="145">
        <f t="shared" si="1"/>
        <v>7.6209683301430652E-6</v>
      </c>
      <c r="F27" s="146" t="s">
        <v>445</v>
      </c>
      <c r="G27" s="147">
        <f>'Entrée des données'!$B$33*'FICHE MAÎTRESSE - H. RÉSIDUELLE'!E27</f>
        <v>0</v>
      </c>
      <c r="H27" s="148">
        <f t="shared" si="2"/>
        <v>0</v>
      </c>
      <c r="K27" s="149" t="s">
        <v>736</v>
      </c>
      <c r="L27" s="149" t="s">
        <v>36</v>
      </c>
    </row>
    <row r="28" spans="2:12" ht="15">
      <c r="B28" s="155" t="s">
        <v>446</v>
      </c>
      <c r="C28" s="157" t="s">
        <v>447</v>
      </c>
      <c r="D28" s="156">
        <v>4.8400000000000002E-6</v>
      </c>
      <c r="E28" s="145">
        <f t="shared" si="1"/>
        <v>5.7996048298573011E-7</v>
      </c>
      <c r="F28" s="146" t="s">
        <v>448</v>
      </c>
      <c r="G28" s="147">
        <f>'Entrée des données'!$B$33*'FICHE MAÎTRESSE - H. RÉSIDUELLE'!E28</f>
        <v>0</v>
      </c>
      <c r="H28" s="148">
        <f t="shared" si="2"/>
        <v>0</v>
      </c>
      <c r="K28" s="149">
        <v>2</v>
      </c>
      <c r="L28" s="149" t="s">
        <v>36</v>
      </c>
    </row>
    <row r="29" spans="2:12" ht="15">
      <c r="B29" s="155" t="s">
        <v>449</v>
      </c>
      <c r="C29" s="157" t="s">
        <v>450</v>
      </c>
      <c r="D29" s="156">
        <f>IF($F$66="U", 0.033,AVERAGE(0.024,0.061))</f>
        <v>4.2499999999999996E-2</v>
      </c>
      <c r="E29" s="145">
        <f t="shared" si="1"/>
        <v>5.0926282080358525E-3</v>
      </c>
      <c r="F29" s="146" t="s">
        <v>451</v>
      </c>
      <c r="G29" s="147">
        <f>'Entrée des données'!$B$33*'FICHE MAÎTRESSE - H. RÉSIDUELLE'!E29</f>
        <v>0</v>
      </c>
      <c r="H29" s="148">
        <f t="shared" si="2"/>
        <v>0</v>
      </c>
      <c r="K29" s="149" t="s">
        <v>736</v>
      </c>
      <c r="L29" s="149">
        <v>5</v>
      </c>
    </row>
    <row r="30" spans="2:12" ht="15">
      <c r="B30" s="155" t="s">
        <v>744</v>
      </c>
      <c r="C30" s="157" t="s">
        <v>452</v>
      </c>
      <c r="D30" s="156">
        <v>2.4800000000000001E-4</v>
      </c>
      <c r="E30" s="145">
        <f t="shared" si="1"/>
        <v>2.9716983425715097E-5</v>
      </c>
      <c r="F30" s="146" t="s">
        <v>453</v>
      </c>
      <c r="G30" s="147">
        <f>'Entrée des données'!$B$33*'FICHE MAÎTRESSE - H. RÉSIDUELLE'!E30</f>
        <v>0</v>
      </c>
      <c r="H30" s="148">
        <f>(1-('Entrée des données'!$D$67/100))*G30</f>
        <v>0</v>
      </c>
      <c r="K30" s="149" t="s">
        <v>737</v>
      </c>
      <c r="L30" s="149" t="s">
        <v>36</v>
      </c>
    </row>
    <row r="31" spans="2:12" ht="15">
      <c r="B31" s="155" t="s">
        <v>711</v>
      </c>
      <c r="C31" s="157" t="s">
        <v>454</v>
      </c>
      <c r="D31" s="156">
        <v>2.1399999999999998E-6</v>
      </c>
      <c r="E31" s="145">
        <f t="shared" si="1"/>
        <v>2.5642880859286413E-7</v>
      </c>
      <c r="F31" s="146" t="s">
        <v>455</v>
      </c>
      <c r="G31" s="147">
        <f>'Entrée des données'!$B$33*'FICHE MAÎTRESSE - H. RÉSIDUELLE'!E31</f>
        <v>0</v>
      </c>
      <c r="H31" s="148">
        <f t="shared" si="2"/>
        <v>0</v>
      </c>
      <c r="K31" s="149">
        <v>2</v>
      </c>
      <c r="L31" s="149" t="s">
        <v>36</v>
      </c>
    </row>
    <row r="32" spans="2:12" ht="15">
      <c r="B32" s="155" t="s">
        <v>456</v>
      </c>
      <c r="C32" s="157" t="s">
        <v>457</v>
      </c>
      <c r="D32" s="156">
        <v>1.5100000000000001E-3</v>
      </c>
      <c r="E32" s="145">
        <f t="shared" si="1"/>
        <v>1.8093808456786208E-4</v>
      </c>
      <c r="F32" s="146" t="s">
        <v>458</v>
      </c>
      <c r="G32" s="147">
        <f>'Entrée des données'!$B$33*'FICHE MAÎTRESSE - H. RÉSIDUELLE'!E32</f>
        <v>0</v>
      </c>
      <c r="H32" s="148">
        <f>(1-('Entrée des données'!$D$67/100))*G32</f>
        <v>0</v>
      </c>
      <c r="K32" s="149" t="s">
        <v>737</v>
      </c>
      <c r="L32" s="149" t="s">
        <v>36</v>
      </c>
    </row>
    <row r="33" spans="2:12" ht="15">
      <c r="B33" s="155" t="s">
        <v>459</v>
      </c>
      <c r="C33" s="157" t="s">
        <v>460</v>
      </c>
      <c r="D33" s="156">
        <v>3.0000000000000001E-3</v>
      </c>
      <c r="E33" s="145">
        <f t="shared" si="1"/>
        <v>3.5947963821429554E-4</v>
      </c>
      <c r="F33" s="146" t="s">
        <v>461</v>
      </c>
      <c r="G33" s="147">
        <f>'Entrée des données'!$B$33*'FICHE MAÎTRESSE - H. RÉSIDUELLE'!E33</f>
        <v>0</v>
      </c>
      <c r="H33" s="148">
        <f>(1-('Entrée des données'!$D$67/100))*G33</f>
        <v>0</v>
      </c>
      <c r="K33" s="149" t="s">
        <v>736</v>
      </c>
      <c r="L33" s="149" t="s">
        <v>36</v>
      </c>
    </row>
    <row r="34" spans="2:12" ht="15">
      <c r="B34" s="155" t="s">
        <v>462</v>
      </c>
      <c r="C34" s="157" t="s">
        <v>463</v>
      </c>
      <c r="D34" s="156">
        <v>1.13E-4</v>
      </c>
      <c r="E34" s="145">
        <f t="shared" si="1"/>
        <v>1.3540399706071797E-5</v>
      </c>
      <c r="F34" s="146" t="s">
        <v>464</v>
      </c>
      <c r="G34" s="147">
        <f>'Entrée des données'!$B$33*'FICHE MAÎTRESSE - H. RÉSIDUELLE'!E34</f>
        <v>0</v>
      </c>
      <c r="H34" s="148">
        <f>(1-('Entrée des données'!$D$67/100))*G34</f>
        <v>0</v>
      </c>
      <c r="K34" s="149" t="s">
        <v>737</v>
      </c>
      <c r="L34" s="149" t="s">
        <v>36</v>
      </c>
    </row>
    <row r="35" spans="2:12" ht="15">
      <c r="B35" s="155" t="s">
        <v>465</v>
      </c>
      <c r="C35" s="157" t="s">
        <v>466</v>
      </c>
      <c r="D35" s="156">
        <v>1.1299999999999999E-3</v>
      </c>
      <c r="E35" s="145">
        <f t="shared" si="1"/>
        <v>1.3540399706071796E-4</v>
      </c>
      <c r="F35" s="146" t="s">
        <v>467</v>
      </c>
      <c r="G35" s="147">
        <f>'Entrée des données'!$B$33*'FICHE MAÎTRESSE - H. RÉSIDUELLE'!E35</f>
        <v>0</v>
      </c>
      <c r="H35" s="148">
        <f t="shared" si="2"/>
        <v>0</v>
      </c>
      <c r="K35" s="149" t="s">
        <v>736</v>
      </c>
      <c r="L35" s="149" t="s">
        <v>36</v>
      </c>
    </row>
    <row r="36" spans="2:12" ht="15">
      <c r="B36" s="155" t="s">
        <v>468</v>
      </c>
      <c r="C36" s="157" t="s">
        <v>469</v>
      </c>
      <c r="D36" s="156">
        <v>8.4500000000000006E-2</v>
      </c>
      <c r="E36" s="145">
        <f t="shared" si="1"/>
        <v>1.0125343143035991E-2</v>
      </c>
      <c r="F36" s="146" t="s">
        <v>470</v>
      </c>
      <c r="G36" s="147">
        <f>'Entrée des données'!$B$33*'FICHE MAÎTRESSE - H. RÉSIDUELLE'!E36</f>
        <v>0</v>
      </c>
      <c r="H36" s="148">
        <f>(1-('Entrée des données'!$D$67/100))*G36</f>
        <v>0</v>
      </c>
      <c r="K36" s="149" t="s">
        <v>736</v>
      </c>
      <c r="L36" s="149" t="s">
        <v>36</v>
      </c>
    </row>
    <row r="37" spans="2:12" ht="15">
      <c r="B37" s="155" t="s">
        <v>712</v>
      </c>
      <c r="C37" s="157" t="s">
        <v>471</v>
      </c>
      <c r="D37" s="156">
        <v>3.1E-9</v>
      </c>
      <c r="E37" s="145">
        <f t="shared" si="1"/>
        <v>3.7146229282143872E-10</v>
      </c>
      <c r="F37" s="146" t="s">
        <v>472</v>
      </c>
      <c r="G37" s="147">
        <f>'Entrée des données'!$B$33*'FICHE MAÎTRESSE - H. RÉSIDUELLE'!E37</f>
        <v>0</v>
      </c>
      <c r="H37" s="148">
        <f t="shared" si="2"/>
        <v>0</v>
      </c>
      <c r="K37" s="149">
        <v>3</v>
      </c>
      <c r="L37" s="149" t="s">
        <v>36</v>
      </c>
    </row>
    <row r="38" spans="2:12" ht="15">
      <c r="B38" s="155" t="s">
        <v>473</v>
      </c>
      <c r="C38" s="157" t="s">
        <v>474</v>
      </c>
      <c r="D38" s="156">
        <v>1.0499999999999999E-5</v>
      </c>
      <c r="E38" s="145">
        <f t="shared" si="1"/>
        <v>1.2581787337500342E-6</v>
      </c>
      <c r="F38" s="146" t="s">
        <v>475</v>
      </c>
      <c r="G38" s="147">
        <f>'Entrée des données'!$B$33*'FICHE MAÎTRESSE - H. RÉSIDUELLE'!E38</f>
        <v>0</v>
      </c>
      <c r="H38" s="148">
        <f t="shared" si="2"/>
        <v>0</v>
      </c>
      <c r="K38" s="149">
        <v>2</v>
      </c>
      <c r="L38" s="149" t="s">
        <v>36</v>
      </c>
    </row>
    <row r="39" spans="2:12" ht="15">
      <c r="B39" s="155" t="s">
        <v>476</v>
      </c>
      <c r="C39" s="157" t="s">
        <v>477</v>
      </c>
      <c r="D39" s="156">
        <v>9.4599999999999997E-3</v>
      </c>
      <c r="E39" s="145">
        <f t="shared" si="1"/>
        <v>1.1335591258357452E-3</v>
      </c>
      <c r="F39" s="146" t="s">
        <v>478</v>
      </c>
      <c r="G39" s="147">
        <f>'Entrée des données'!$B$33*'FICHE MAÎTRESSE - H. RÉSIDUELLE'!E39</f>
        <v>0</v>
      </c>
      <c r="H39" s="148">
        <f>(1-('Entrée des données'!$D$67/100))*G39</f>
        <v>0</v>
      </c>
      <c r="K39" s="149" t="s">
        <v>736</v>
      </c>
      <c r="L39" s="149" t="s">
        <v>36</v>
      </c>
    </row>
    <row r="40" spans="2:12" ht="15">
      <c r="B40" s="155" t="s">
        <v>479</v>
      </c>
      <c r="C40" s="157" t="s">
        <v>480</v>
      </c>
      <c r="D40" s="156">
        <v>4.25E-6</v>
      </c>
      <c r="E40" s="145">
        <f t="shared" si="1"/>
        <v>5.092628208035853E-7</v>
      </c>
      <c r="F40" s="146" t="s">
        <v>481</v>
      </c>
      <c r="G40" s="147">
        <f>'Entrée des données'!$B$33*'FICHE MAÎTRESSE - H. RÉSIDUELLE'!E40</f>
        <v>0</v>
      </c>
      <c r="H40" s="148">
        <f t="shared" si="2"/>
        <v>0</v>
      </c>
      <c r="K40" s="149">
        <v>2</v>
      </c>
      <c r="L40" s="149" t="s">
        <v>36</v>
      </c>
    </row>
    <row r="41" spans="2:12" ht="15">
      <c r="B41" s="155" t="s">
        <v>482</v>
      </c>
      <c r="C41" s="157" t="s">
        <v>483</v>
      </c>
      <c r="D41" s="156">
        <v>6.8300000000000001E-4</v>
      </c>
      <c r="E41" s="145">
        <f t="shared" si="1"/>
        <v>8.1841530966787944E-5</v>
      </c>
      <c r="F41" s="146" t="s">
        <v>484</v>
      </c>
      <c r="G41" s="147">
        <f>'Entrée des données'!$B$33*'FICHE MAÎTRESSE - H. RÉSIDUELLE'!E41</f>
        <v>0</v>
      </c>
      <c r="H41" s="148">
        <f>(1-('Entrée des données'!$D$67/100))*G41</f>
        <v>0</v>
      </c>
      <c r="K41" s="149" t="s">
        <v>737</v>
      </c>
      <c r="L41" s="149" t="s">
        <v>36</v>
      </c>
    </row>
    <row r="42" spans="2:12" ht="15">
      <c r="B42" s="155" t="s">
        <v>485</v>
      </c>
      <c r="C42" s="157" t="s">
        <v>486</v>
      </c>
      <c r="D42" s="156">
        <v>6.1999999999999998E-3</v>
      </c>
      <c r="E42" s="145">
        <f t="shared" si="1"/>
        <v>7.4292458564287735E-4</v>
      </c>
      <c r="F42" s="146" t="s">
        <v>487</v>
      </c>
      <c r="G42" s="147">
        <f>'Entrée des données'!$B$33*'FICHE MAÎTRESSE - H. RÉSIDUELLE'!E42</f>
        <v>0</v>
      </c>
      <c r="H42" s="148">
        <f t="shared" si="2"/>
        <v>0</v>
      </c>
      <c r="K42" s="149" t="s">
        <v>736</v>
      </c>
      <c r="L42" s="149">
        <v>5</v>
      </c>
    </row>
    <row r="43" spans="2:12" ht="15">
      <c r="B43" s="158" t="s">
        <v>488</v>
      </c>
      <c r="C43" s="157" t="s">
        <v>489</v>
      </c>
      <c r="D43" s="156">
        <v>1.0900000000000001E-4</v>
      </c>
      <c r="E43" s="145">
        <f t="shared" si="1"/>
        <v>1.3061093521786072E-5</v>
      </c>
      <c r="F43" s="146" t="s">
        <v>490</v>
      </c>
      <c r="G43" s="147">
        <f>'Entrée des données'!$B$33*'FICHE MAÎTRESSE - H. RÉSIDUELLE'!E43</f>
        <v>0</v>
      </c>
      <c r="H43" s="148">
        <f t="shared" si="2"/>
        <v>0</v>
      </c>
      <c r="K43" s="149" t="s">
        <v>736</v>
      </c>
      <c r="L43" s="149">
        <v>5</v>
      </c>
    </row>
    <row r="44" spans="2:12" ht="15">
      <c r="B44" s="155" t="s">
        <v>491</v>
      </c>
      <c r="C44" s="157" t="s">
        <v>492</v>
      </c>
      <c r="D44" s="156">
        <v>3.1800000000000002E-2</v>
      </c>
      <c r="E44" s="145">
        <f t="shared" si="1"/>
        <v>3.8104841650715327E-3</v>
      </c>
      <c r="F44" s="146" t="s">
        <v>493</v>
      </c>
      <c r="G44" s="147">
        <f>'Entrée des données'!$B$33*'FICHE MAÎTRESSE - H. RÉSIDUELLE'!E44</f>
        <v>0</v>
      </c>
      <c r="H44" s="148">
        <f>(1-('Entrée des données'!$D$67/100))*G44</f>
        <v>0</v>
      </c>
      <c r="K44" s="149" t="s">
        <v>736</v>
      </c>
      <c r="L44" s="149" t="s">
        <v>36</v>
      </c>
    </row>
    <row r="45" spans="2:12" ht="15">
      <c r="B45" s="155" t="s">
        <v>494</v>
      </c>
      <c r="C45" s="157" t="s">
        <v>495</v>
      </c>
      <c r="D45" s="156">
        <v>2.9100000000000001E-2</v>
      </c>
      <c r="E45" s="145">
        <f>D45*(264.172/2.20462/1000)</f>
        <v>3.4869524906786667E-3</v>
      </c>
      <c r="F45" s="146" t="s">
        <v>496</v>
      </c>
      <c r="G45" s="147">
        <f>'Entrée des données'!$B$33*'FICHE MAÎTRESSE - H. RÉSIDUELLE'!E45</f>
        <v>0</v>
      </c>
      <c r="H45" s="148">
        <f>(1-('Entrée des données'!$D$67/100))*G45</f>
        <v>0</v>
      </c>
      <c r="K45" s="149" t="s">
        <v>736</v>
      </c>
      <c r="L45" s="149" t="s">
        <v>36</v>
      </c>
    </row>
    <row r="46" spans="2:12" ht="15">
      <c r="B46" s="155" t="s">
        <v>497</v>
      </c>
      <c r="C46" s="157" t="s">
        <v>498</v>
      </c>
      <c r="D46" s="156">
        <v>2.1100000000000001E-5</v>
      </c>
      <c r="E46" s="145">
        <f t="shared" ref="E46:E48" si="3">D46*(264.172/2.20462/1000)</f>
        <v>2.528340122107212E-6</v>
      </c>
      <c r="F46" s="146" t="s">
        <v>499</v>
      </c>
      <c r="G46" s="147">
        <f>'Entrée des données'!$B$33*'FICHE MAÎTRESSE - H. RÉSIDUELLE'!E46</f>
        <v>0</v>
      </c>
      <c r="H46" s="148">
        <f>(1-('Entrée des données'!$D$67/100))*G46</f>
        <v>0</v>
      </c>
      <c r="K46" s="149">
        <v>2</v>
      </c>
      <c r="L46" s="149" t="s">
        <v>36</v>
      </c>
    </row>
    <row r="47" spans="2:12" ht="15">
      <c r="B47" s="155" t="s">
        <v>500</v>
      </c>
      <c r="C47" s="157" t="s">
        <v>501</v>
      </c>
      <c r="D47" s="156">
        <v>2.53E-7</v>
      </c>
      <c r="E47" s="145">
        <f t="shared" si="3"/>
        <v>3.0316116156072255E-8</v>
      </c>
      <c r="F47" s="146" t="s">
        <v>502</v>
      </c>
      <c r="G47" s="147">
        <f>'Entrée des données'!$B$33*'FICHE MAÎTRESSE - H. RÉSIDUELLE'!E47</f>
        <v>0</v>
      </c>
      <c r="H47" s="148">
        <f>(1-('Entrée des données'!$D$67/100))*G47</f>
        <v>0</v>
      </c>
      <c r="K47" s="149">
        <v>2</v>
      </c>
      <c r="L47" s="149" t="s">
        <v>36</v>
      </c>
    </row>
    <row r="48" spans="2:12" ht="15">
      <c r="B48" s="155" t="s">
        <v>503</v>
      </c>
      <c r="C48" s="157" t="s">
        <v>504</v>
      </c>
      <c r="D48" s="156">
        <v>4.4700000000000004E-6</v>
      </c>
      <c r="E48" s="145">
        <f t="shared" si="3"/>
        <v>5.3562466093930034E-7</v>
      </c>
      <c r="F48" s="146" t="s">
        <v>505</v>
      </c>
      <c r="G48" s="147">
        <f>'Entrée des données'!$B$33*'FICHE MAÎTRESSE - H. RÉSIDUELLE'!E48</f>
        <v>0</v>
      </c>
      <c r="H48" s="148">
        <f>(1-('Entrée des données'!$D$67/100))*G48</f>
        <v>0</v>
      </c>
      <c r="K48" s="149">
        <v>2</v>
      </c>
      <c r="L48" s="149" t="s">
        <v>36</v>
      </c>
    </row>
    <row r="49" spans="2:11" ht="7.5" customHeight="1">
      <c r="I49" s="159"/>
      <c r="J49" s="159"/>
      <c r="K49" s="159"/>
    </row>
    <row r="50" spans="2:11">
      <c r="B50" s="160" t="s">
        <v>68</v>
      </c>
      <c r="I50" s="159"/>
      <c r="J50" s="159"/>
      <c r="K50" s="159"/>
    </row>
    <row r="51" spans="2:11">
      <c r="B51" s="160" t="s">
        <v>70</v>
      </c>
      <c r="I51" s="159"/>
      <c r="J51" s="159"/>
      <c r="K51" s="159"/>
    </row>
    <row r="52" spans="2:11" ht="15" thickBot="1">
      <c r="I52" s="159"/>
      <c r="J52" s="159"/>
      <c r="K52" s="159"/>
    </row>
    <row r="53" spans="2:11" ht="16.5">
      <c r="B53" s="301" t="s">
        <v>170</v>
      </c>
      <c r="C53" s="301"/>
      <c r="D53" s="301"/>
      <c r="E53" s="301"/>
      <c r="F53" s="293" t="s">
        <v>713</v>
      </c>
    </row>
    <row r="54" spans="2:11">
      <c r="B54" s="302" t="s">
        <v>60</v>
      </c>
      <c r="C54" s="280" t="s">
        <v>61</v>
      </c>
      <c r="D54" s="281"/>
      <c r="E54" s="281"/>
      <c r="F54" s="294"/>
    </row>
    <row r="55" spans="2:11">
      <c r="B55" s="302"/>
      <c r="C55" s="149">
        <v>6</v>
      </c>
      <c r="D55" s="149">
        <v>5</v>
      </c>
      <c r="E55" s="161">
        <v>4</v>
      </c>
      <c r="F55" s="295"/>
    </row>
    <row r="56" spans="2:11" ht="18.75">
      <c r="B56" s="206" t="s">
        <v>171</v>
      </c>
      <c r="C56" s="163">
        <f>157*'Entrée des données'!$D$47</f>
        <v>7.3789999999999994E-2</v>
      </c>
      <c r="D56" s="163">
        <f>157*'Entrée des données'!$D$47</f>
        <v>7.3789999999999994E-2</v>
      </c>
      <c r="E56" s="164">
        <f>150*'Entrée des données'!$D$47</f>
        <v>7.0499999999999993E-2</v>
      </c>
      <c r="F56" s="165">
        <f>INDEX($C$56:$E$59,MATCH(B56,$B$56:$B$59,0),MATCH($F$65,$C$55:$E$55,0))</f>
        <v>7.0499999999999993E-2</v>
      </c>
    </row>
    <row r="57" spans="2:11" ht="18.75">
      <c r="B57" s="206" t="s">
        <v>172</v>
      </c>
      <c r="C57" s="166">
        <v>55</v>
      </c>
      <c r="D57" s="166">
        <v>55</v>
      </c>
      <c r="E57" s="167">
        <v>20</v>
      </c>
      <c r="F57" s="165">
        <f t="shared" ref="F57:F58" si="4">INDEX($C$56:$E$59,MATCH(B57,$B$56:$B$59,0),MATCH($F$65,$C$55:$E$55,0))</f>
        <v>20</v>
      </c>
    </row>
    <row r="58" spans="2:11">
      <c r="B58" s="206" t="s">
        <v>506</v>
      </c>
      <c r="C58" s="168">
        <v>5</v>
      </c>
      <c r="D58" s="163">
        <v>5</v>
      </c>
      <c r="E58" s="164">
        <v>5</v>
      </c>
      <c r="F58" s="165">
        <f t="shared" si="4"/>
        <v>5</v>
      </c>
    </row>
    <row r="59" spans="2:11" ht="15" thickBot="1">
      <c r="B59" s="206" t="s">
        <v>729</v>
      </c>
      <c r="C59" s="166">
        <f>(9.19*'Entrée des données'!$D$47)+3.22</f>
        <v>3.2243193000000003</v>
      </c>
      <c r="D59" s="166">
        <v>10</v>
      </c>
      <c r="E59" s="167">
        <v>7</v>
      </c>
      <c r="F59" s="169">
        <f>INDEX($C$56:$E$59,MATCH(B59,$B$56:$B$59,0),MATCH($F$65,$C$55:$E$55,0))</f>
        <v>7</v>
      </c>
    </row>
    <row r="60" spans="2:11" ht="15.75" customHeight="1">
      <c r="B60" s="138" t="s">
        <v>150</v>
      </c>
      <c r="C60" s="170" t="s">
        <v>149</v>
      </c>
      <c r="D60" s="171" t="s">
        <v>507</v>
      </c>
      <c r="E60" s="171" t="s">
        <v>508</v>
      </c>
      <c r="F60" s="172" t="str">
        <f>INDEX(C60:E60,MATCH($F$65,$C$55:$E$55,0))</f>
        <v>B</v>
      </c>
    </row>
    <row r="61" spans="2:11">
      <c r="B61" s="138" t="s">
        <v>63</v>
      </c>
      <c r="C61" s="170"/>
      <c r="D61" s="171"/>
      <c r="E61" s="171"/>
    </row>
    <row r="62" spans="2:11" hidden="1">
      <c r="C62" s="170"/>
      <c r="D62" s="171"/>
      <c r="E62" s="171"/>
    </row>
    <row r="63" spans="2:11">
      <c r="B63" s="171"/>
      <c r="C63" s="171"/>
      <c r="D63" s="173"/>
      <c r="E63" s="173"/>
    </row>
    <row r="64" spans="2:11" ht="15">
      <c r="B64" s="300" t="s">
        <v>48</v>
      </c>
      <c r="C64" s="300"/>
      <c r="E64" s="276" t="s">
        <v>59</v>
      </c>
      <c r="F64" s="276"/>
    </row>
    <row r="65" spans="2:8" ht="15">
      <c r="B65" s="298" t="s">
        <v>47</v>
      </c>
      <c r="C65" s="299"/>
      <c r="E65" s="162" t="s">
        <v>52</v>
      </c>
      <c r="F65" s="149">
        <f>'Entrée des données'!H7</f>
        <v>4</v>
      </c>
    </row>
    <row r="66" spans="2:8">
      <c r="B66" s="174" t="s">
        <v>39</v>
      </c>
      <c r="C66" s="175">
        <f>1.12*('Entrée des données'!$D$47)+0.37</f>
        <v>0.37052639999999998</v>
      </c>
      <c r="E66" s="162" t="s">
        <v>58</v>
      </c>
      <c r="F66" s="149" t="str">
        <f>'Entrée des données'!$H$37</f>
        <v>I</v>
      </c>
    </row>
    <row r="67" spans="2:8">
      <c r="B67" s="176" t="s">
        <v>40</v>
      </c>
      <c r="C67" s="176">
        <v>1.2</v>
      </c>
    </row>
    <row r="68" spans="2:8">
      <c r="B68" s="177" t="s">
        <v>41</v>
      </c>
      <c r="C68" s="177">
        <v>0.84</v>
      </c>
    </row>
    <row r="70" spans="2:8" ht="18.75">
      <c r="B70" s="275" t="s">
        <v>728</v>
      </c>
      <c r="C70" s="275"/>
      <c r="D70" s="275"/>
      <c r="E70" s="275"/>
      <c r="F70" s="275"/>
    </row>
    <row r="71" spans="2:8" ht="3.75" customHeight="1"/>
    <row r="72" spans="2:8" ht="15">
      <c r="B72" s="296" t="s">
        <v>56</v>
      </c>
      <c r="C72" s="297"/>
      <c r="D72" s="297"/>
      <c r="E72" s="297"/>
    </row>
    <row r="73" spans="2:8" ht="15">
      <c r="B73" s="296" t="s">
        <v>57</v>
      </c>
      <c r="C73" s="297"/>
      <c r="D73" s="297"/>
      <c r="E73" s="297"/>
    </row>
    <row r="74" spans="2:8" ht="15">
      <c r="B74" s="296" t="s">
        <v>725</v>
      </c>
      <c r="C74" s="297"/>
      <c r="D74" s="297"/>
      <c r="E74" s="297"/>
    </row>
    <row r="75" spans="2:8" ht="10.5" customHeight="1" thickBot="1"/>
    <row r="76" spans="2:8" ht="18">
      <c r="B76" s="277" t="s">
        <v>726</v>
      </c>
      <c r="C76" s="278"/>
      <c r="D76" s="278"/>
      <c r="E76" s="278"/>
      <c r="F76" s="288" t="s">
        <v>509</v>
      </c>
      <c r="G76" s="271" t="s">
        <v>713</v>
      </c>
    </row>
    <row r="77" spans="2:8">
      <c r="B77" s="279" t="s">
        <v>62</v>
      </c>
      <c r="C77" s="280" t="s">
        <v>510</v>
      </c>
      <c r="D77" s="281"/>
      <c r="E77" s="281"/>
      <c r="F77" s="289"/>
      <c r="G77" s="272"/>
    </row>
    <row r="78" spans="2:8" ht="15" thickBot="1">
      <c r="B78" s="279"/>
      <c r="C78" s="203">
        <v>6</v>
      </c>
      <c r="D78" s="203">
        <v>5</v>
      </c>
      <c r="E78" s="204">
        <v>4</v>
      </c>
      <c r="F78" s="289"/>
      <c r="G78" s="273"/>
    </row>
    <row r="79" spans="2:8" ht="15" thickBot="1">
      <c r="B79" s="222" t="s">
        <v>511</v>
      </c>
      <c r="C79" s="178">
        <f>7.17*C66</f>
        <v>2.6566742879999996</v>
      </c>
      <c r="D79" s="178">
        <f>7.17*C67</f>
        <v>8.6039999999999992</v>
      </c>
      <c r="E79" s="179">
        <f>7.17*C68</f>
        <v>6.0228000000000002</v>
      </c>
      <c r="F79" s="213" t="s">
        <v>512</v>
      </c>
      <c r="G79" s="208">
        <f>INDEX($C$79:$E$81,MATCH($F$66,$B$79:$B$81,0),MATCH($F$65,$C$78:$E$78,0))</f>
        <v>6.0228000000000002</v>
      </c>
      <c r="H79" s="138" t="s">
        <v>66</v>
      </c>
    </row>
    <row r="80" spans="2:8" ht="15" thickBot="1">
      <c r="B80" s="222" t="s">
        <v>513</v>
      </c>
      <c r="C80" s="178">
        <f>5.17*C66</f>
        <v>1.9156214879999998</v>
      </c>
      <c r="D80" s="178">
        <f>5.17*C67</f>
        <v>6.2039999999999997</v>
      </c>
      <c r="E80" s="179">
        <f>5.17*C68</f>
        <v>4.3427999999999995</v>
      </c>
      <c r="F80" s="213" t="s">
        <v>514</v>
      </c>
      <c r="G80" s="221" t="str">
        <f>INDEX(F79:F81,MATCH($F$66,$B$79:$B$81,0))</f>
        <v>D</v>
      </c>
      <c r="H80" s="138" t="s">
        <v>67</v>
      </c>
    </row>
    <row r="81" spans="2:8" ht="15" thickBot="1">
      <c r="B81" s="223" t="s">
        <v>515</v>
      </c>
      <c r="C81" s="214">
        <f>5.9*C66</f>
        <v>2.1861057599999998</v>
      </c>
      <c r="D81" s="214">
        <f>5.9*C67</f>
        <v>7.08</v>
      </c>
      <c r="E81" s="224">
        <f>5.9*C68</f>
        <v>4.9560000000000004</v>
      </c>
      <c r="F81" s="215" t="s">
        <v>516</v>
      </c>
      <c r="G81" s="180"/>
      <c r="H81" s="138" t="s">
        <v>65</v>
      </c>
    </row>
    <row r="82" spans="2:8" ht="3.75" customHeight="1">
      <c r="B82" s="173"/>
      <c r="C82" s="173"/>
      <c r="D82" s="173"/>
      <c r="E82" s="173"/>
      <c r="G82" s="180"/>
    </row>
    <row r="83" spans="2:8" hidden="1">
      <c r="B83" s="173"/>
      <c r="C83" s="173"/>
      <c r="D83" s="173"/>
      <c r="E83" s="173"/>
      <c r="G83" s="180"/>
    </row>
    <row r="84" spans="2:8" ht="15" thickBot="1">
      <c r="B84" s="173"/>
      <c r="C84" s="173"/>
      <c r="D84" s="173"/>
      <c r="E84" s="173"/>
    </row>
    <row r="85" spans="2:8" ht="18">
      <c r="B85" s="277" t="s">
        <v>727</v>
      </c>
      <c r="C85" s="278"/>
      <c r="D85" s="278"/>
      <c r="E85" s="278"/>
      <c r="F85" s="288" t="s">
        <v>517</v>
      </c>
      <c r="G85" s="271" t="s">
        <v>713</v>
      </c>
    </row>
    <row r="86" spans="2:8">
      <c r="B86" s="279" t="s">
        <v>518</v>
      </c>
      <c r="C86" s="280" t="s">
        <v>519</v>
      </c>
      <c r="D86" s="281"/>
      <c r="E86" s="281"/>
      <c r="F86" s="289"/>
      <c r="G86" s="272"/>
    </row>
    <row r="87" spans="2:8" ht="15" thickBot="1">
      <c r="B87" s="279"/>
      <c r="C87" s="203">
        <v>6</v>
      </c>
      <c r="D87" s="203">
        <v>5</v>
      </c>
      <c r="E87" s="204">
        <v>4</v>
      </c>
      <c r="F87" s="289"/>
      <c r="G87" s="273"/>
    </row>
    <row r="88" spans="2:8" ht="15" thickBot="1">
      <c r="B88" s="222" t="s">
        <v>520</v>
      </c>
      <c r="C88" s="178">
        <f>4.67*C66</f>
        <v>1.7303582879999999</v>
      </c>
      <c r="D88" s="178">
        <f>4.67*C67</f>
        <v>5.6040000000000001</v>
      </c>
      <c r="E88" s="179">
        <f>4.67*C68</f>
        <v>3.9227999999999996</v>
      </c>
      <c r="F88" s="213" t="s">
        <v>521</v>
      </c>
      <c r="G88" s="208">
        <f>INDEX($C$88:$E$90,MATCH(F66,B88:B90,0),MATCH(F65,C87:E87,0))</f>
        <v>3.9227999999999996</v>
      </c>
      <c r="H88" s="138" t="s">
        <v>522</v>
      </c>
    </row>
    <row r="89" spans="2:8" ht="15" thickBot="1">
      <c r="B89" s="222" t="s">
        <v>523</v>
      </c>
      <c r="C89" s="178">
        <f>1.92*C66</f>
        <v>0.71141068799999996</v>
      </c>
      <c r="D89" s="178">
        <f>1.92*C67</f>
        <v>2.3039999999999998</v>
      </c>
      <c r="E89" s="178">
        <f>1.92*C68</f>
        <v>1.6127999999999998</v>
      </c>
      <c r="F89" s="213" t="s">
        <v>524</v>
      </c>
      <c r="G89" s="221" t="str">
        <f>INDEX(F88:F90,MATCH($F$66,$B$88:$B$90,0))</f>
        <v>D</v>
      </c>
      <c r="H89" s="138" t="s">
        <v>525</v>
      </c>
    </row>
    <row r="90" spans="2:8" ht="15" thickBot="1">
      <c r="B90" s="223" t="s">
        <v>526</v>
      </c>
      <c r="C90" s="214">
        <f>4.3*C66</f>
        <v>1.5932635199999998</v>
      </c>
      <c r="D90" s="214">
        <f>4.3*C67</f>
        <v>5.1599999999999993</v>
      </c>
      <c r="E90" s="214">
        <f>4.3*C68</f>
        <v>3.6119999999999997</v>
      </c>
      <c r="F90" s="215" t="s">
        <v>527</v>
      </c>
      <c r="G90" s="180"/>
      <c r="H90" s="138" t="s">
        <v>528</v>
      </c>
    </row>
    <row r="91" spans="2:8" ht="7.5" customHeight="1">
      <c r="B91" s="173"/>
      <c r="C91" s="173"/>
      <c r="D91" s="173"/>
      <c r="E91" s="173"/>
    </row>
    <row r="92" spans="2:8" hidden="1">
      <c r="B92" s="173"/>
      <c r="C92" s="173"/>
      <c r="D92" s="173"/>
      <c r="E92" s="173"/>
    </row>
    <row r="93" spans="2:8" ht="15" thickBot="1">
      <c r="B93" s="173"/>
      <c r="C93" s="173"/>
      <c r="D93" s="173"/>
      <c r="E93" s="173"/>
    </row>
    <row r="94" spans="2:8" ht="16.5" customHeight="1">
      <c r="B94" s="282" t="s">
        <v>173</v>
      </c>
      <c r="C94" s="283"/>
      <c r="D94" s="283"/>
      <c r="E94" s="284"/>
      <c r="F94" s="290" t="s">
        <v>529</v>
      </c>
      <c r="G94" s="271" t="s">
        <v>713</v>
      </c>
    </row>
    <row r="95" spans="2:8">
      <c r="B95" s="285" t="s">
        <v>530</v>
      </c>
      <c r="C95" s="280" t="s">
        <v>531</v>
      </c>
      <c r="D95" s="281"/>
      <c r="E95" s="287"/>
      <c r="F95" s="291"/>
      <c r="G95" s="272"/>
    </row>
    <row r="96" spans="2:8">
      <c r="B96" s="286"/>
      <c r="C96" s="203">
        <v>6</v>
      </c>
      <c r="D96" s="203">
        <v>5</v>
      </c>
      <c r="E96" s="204">
        <v>4</v>
      </c>
      <c r="F96" s="292"/>
      <c r="G96" s="274"/>
    </row>
    <row r="97" spans="2:7" ht="15" thickBot="1">
      <c r="B97" s="222" t="s">
        <v>532</v>
      </c>
      <c r="C97" s="178">
        <v>0.28000000000000003</v>
      </c>
      <c r="D97" s="178">
        <v>0.28000000000000003</v>
      </c>
      <c r="E97" s="179">
        <v>0.2</v>
      </c>
      <c r="F97" s="213" t="s">
        <v>533</v>
      </c>
      <c r="G97" s="225">
        <f>INDEX(C97:E99,MATCH(F66,B97:B99,0),MATCH(F65,C96:E96,0))</f>
        <v>0.2</v>
      </c>
    </row>
    <row r="98" spans="2:7" ht="15" thickBot="1">
      <c r="B98" s="222" t="s">
        <v>534</v>
      </c>
      <c r="C98" s="178">
        <v>1.1299999999999999</v>
      </c>
      <c r="D98" s="178">
        <v>1.1299999999999999</v>
      </c>
      <c r="E98" s="178">
        <v>0.34</v>
      </c>
      <c r="F98" s="213" t="s">
        <v>535</v>
      </c>
      <c r="G98" s="221" t="str">
        <f>INDEX(F97:F99,MATCH($F$66,$B$97:$B$99,0))</f>
        <v>A</v>
      </c>
    </row>
    <row r="99" spans="2:7" ht="15" thickBot="1">
      <c r="B99" s="223" t="s">
        <v>536</v>
      </c>
      <c r="C99" s="214">
        <v>0.76</v>
      </c>
      <c r="D99" s="214">
        <v>0.76</v>
      </c>
      <c r="E99" s="214">
        <v>0.76</v>
      </c>
      <c r="F99" s="215" t="s">
        <v>537</v>
      </c>
      <c r="G99" s="180"/>
    </row>
    <row r="100" spans="2:7" ht="4.5" customHeight="1"/>
    <row r="101" spans="2:7">
      <c r="B101" s="138" t="s">
        <v>64</v>
      </c>
    </row>
  </sheetData>
  <sheetProtection password="CA53" sheet="1" objects="1" scenarios="1"/>
  <autoFilter ref="K4:L48"/>
  <mergeCells count="32">
    <mergeCell ref="B4:B5"/>
    <mergeCell ref="C4:C5"/>
    <mergeCell ref="D4:E4"/>
    <mergeCell ref="K4:K5"/>
    <mergeCell ref="L4:L5"/>
    <mergeCell ref="F4:F5"/>
    <mergeCell ref="C54:E54"/>
    <mergeCell ref="F53:F55"/>
    <mergeCell ref="B77:B78"/>
    <mergeCell ref="C77:E77"/>
    <mergeCell ref="B74:E74"/>
    <mergeCell ref="B65:C65"/>
    <mergeCell ref="B64:C64"/>
    <mergeCell ref="B76:E76"/>
    <mergeCell ref="B53:E53"/>
    <mergeCell ref="B54:B55"/>
    <mergeCell ref="B72:E72"/>
    <mergeCell ref="B73:E73"/>
    <mergeCell ref="G85:G87"/>
    <mergeCell ref="G94:G96"/>
    <mergeCell ref="B70:F70"/>
    <mergeCell ref="E64:F64"/>
    <mergeCell ref="B85:E85"/>
    <mergeCell ref="B86:B87"/>
    <mergeCell ref="C86:E86"/>
    <mergeCell ref="B94:E94"/>
    <mergeCell ref="B95:B96"/>
    <mergeCell ref="C95:E95"/>
    <mergeCell ref="F76:F78"/>
    <mergeCell ref="F85:F87"/>
    <mergeCell ref="G76:G78"/>
    <mergeCell ref="F94:F96"/>
  </mergeCells>
  <pageMargins left="0.39370078740157483" right="0.39370078740157483" top="0.55118110236220474" bottom="0.39370078740157483" header="0.31496062992125984" footer="0.31496062992125984"/>
  <pageSetup scale="64" orientation="landscape" r:id="rId1"/>
  <rowBreaks count="1" manualBreakCount="1">
    <brk id="48" max="16383" man="1"/>
  </rowBreaks>
  <extLst>
    <ext xmlns:x14="http://schemas.microsoft.com/office/spreadsheetml/2009/9/main" uri="{78C0D931-6437-407d-A8EE-F0AAD7539E65}">
      <x14:conditionalFormattings>
        <x14:conditionalFormatting xmlns:xm="http://schemas.microsoft.com/office/excel/2006/main">
          <x14:cfRule type="expression" priority="2" id="{2354DCF2-516A-473C-8A78-A606A21F106F}">
            <xm:f>'Entrée des données'!$H$4="D"</xm:f>
            <x14:dxf>
              <fill>
                <patternFill patternType="darkGray"/>
              </fill>
            </x14:dxf>
          </x14:cfRule>
          <xm:sqref>D6:H45 E46:H48</xm:sqref>
        </x14:conditionalFormatting>
        <x14:conditionalFormatting xmlns:xm="http://schemas.microsoft.com/office/excel/2006/main">
          <x14:cfRule type="expression" priority="1" id="{2D810726-45F3-4532-A76F-C510ABF2E5C0}">
            <xm:f>'Entrée des données'!$H$4="D"</xm:f>
            <x14:dxf>
              <fill>
                <patternFill patternType="darkGray"/>
              </fill>
            </x14:dxf>
          </x14:cfRule>
          <xm:sqref>D46:D48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5"/>
  <sheetViews>
    <sheetView workbookViewId="0">
      <selection activeCell="B2" sqref="B2"/>
    </sheetView>
  </sheetViews>
  <sheetFormatPr defaultColWidth="9.5703125" defaultRowHeight="14.25"/>
  <cols>
    <col min="1" max="1" width="2.5703125" style="138" customWidth="1"/>
    <col min="2" max="2" width="62.28515625" style="138" customWidth="1"/>
    <col min="3" max="3" width="13.85546875" style="138" customWidth="1"/>
    <col min="4" max="4" width="22.28515625" style="138" customWidth="1"/>
    <col min="5" max="5" width="19.140625" style="138" bestFit="1" customWidth="1"/>
    <col min="6" max="6" width="17.42578125" style="138" customWidth="1"/>
    <col min="7" max="7" width="23" style="138" customWidth="1"/>
    <col min="8" max="8" width="22.7109375" style="138" customWidth="1"/>
    <col min="9" max="9" width="3.5703125" style="138" customWidth="1"/>
    <col min="10" max="10" width="10.7109375" style="138" bestFit="1" customWidth="1"/>
    <col min="11" max="11" width="11.28515625" style="138" customWidth="1"/>
    <col min="12" max="16384" width="9.5703125" style="138"/>
  </cols>
  <sheetData>
    <row r="2" spans="2:11" ht="26.25" customHeight="1">
      <c r="B2" s="137" t="s">
        <v>37</v>
      </c>
    </row>
    <row r="3" spans="2:11" ht="5.25" customHeight="1"/>
    <row r="4" spans="2:11" ht="33.6" customHeight="1">
      <c r="B4" s="303" t="s">
        <v>538</v>
      </c>
      <c r="C4" s="302" t="s">
        <v>539</v>
      </c>
      <c r="D4" s="304" t="s">
        <v>540</v>
      </c>
      <c r="E4" s="304"/>
      <c r="F4" s="305" t="s">
        <v>541</v>
      </c>
      <c r="G4" s="139" t="s">
        <v>542</v>
      </c>
      <c r="H4" s="139" t="s">
        <v>543</v>
      </c>
      <c r="J4" s="305" t="s">
        <v>544</v>
      </c>
      <c r="K4" s="305" t="s">
        <v>545</v>
      </c>
    </row>
    <row r="5" spans="2:11" ht="16.5">
      <c r="B5" s="303"/>
      <c r="C5" s="302"/>
      <c r="D5" s="149" t="s">
        <v>546</v>
      </c>
      <c r="E5" s="149" t="s">
        <v>547</v>
      </c>
      <c r="F5" s="306"/>
      <c r="G5" s="140" t="s">
        <v>548</v>
      </c>
      <c r="H5" s="182" t="s">
        <v>549</v>
      </c>
      <c r="J5" s="306"/>
      <c r="K5" s="306"/>
    </row>
    <row r="6" spans="2:11" ht="18.75">
      <c r="B6" s="142" t="s">
        <v>550</v>
      </c>
      <c r="C6" s="157" t="s">
        <v>551</v>
      </c>
      <c r="D6" s="153">
        <f>IF('Entrée des données'!$H$4="D",142*'Entrée des données'!$D$47,"Fiche maîtresse - huile résiduelle")</f>
        <v>6.6739999999999994E-2</v>
      </c>
      <c r="E6" s="183">
        <f>IFERROR(D6*(264.172/2.20462/1000),"")</f>
        <v>7.9972236848073596E-3</v>
      </c>
      <c r="F6" s="184" t="str">
        <f>IF('Entrée des données'!$H$4="D","A","Fiche maîtresse - huile résiduelle")</f>
        <v>A</v>
      </c>
      <c r="G6" s="148">
        <f>IF(E6="","",'Entrée des données'!$B$33*E6)</f>
        <v>0</v>
      </c>
      <c r="H6" s="148">
        <f>IFERROR((1-('Entrée des données'!D59/100))*G6,"")</f>
        <v>0</v>
      </c>
      <c r="J6" s="239">
        <v>4</v>
      </c>
      <c r="K6" s="149" t="s">
        <v>36</v>
      </c>
    </row>
    <row r="7" spans="2:11" ht="18.75">
      <c r="B7" s="142" t="s">
        <v>710</v>
      </c>
      <c r="C7" s="154" t="s">
        <v>552</v>
      </c>
      <c r="D7" s="153">
        <f>IF('Entrée des données'!$H$4="D",20,"Fiche maîtresse - huile résiduelle")</f>
        <v>20</v>
      </c>
      <c r="E7" s="183">
        <f t="shared" ref="E7:E9" si="0">IFERROR(D7*(264.172/2.20462/1000),"")</f>
        <v>2.3965309214286368</v>
      </c>
      <c r="F7" s="184" t="str">
        <f>IF('Entrée des données'!$H$4="D","A","Fiche maîtresse - huile résiduelle")</f>
        <v>A</v>
      </c>
      <c r="G7" s="148">
        <f>IF(E7="","",'Entrée des données'!$B$33*E7)</f>
        <v>0</v>
      </c>
      <c r="H7" s="148">
        <f>IFERROR((1-('Entrée des données'!D55/100))*G7,"")</f>
        <v>0</v>
      </c>
      <c r="J7" s="149">
        <v>4</v>
      </c>
      <c r="K7" s="149" t="s">
        <v>36</v>
      </c>
    </row>
    <row r="8" spans="2:11" ht="15">
      <c r="B8" s="142" t="s">
        <v>553</v>
      </c>
      <c r="C8" s="154" t="s">
        <v>554</v>
      </c>
      <c r="D8" s="153">
        <f>IF('Entrée des données'!$H$4="D",5,"Fiche maîtresse - huile résiduelle")</f>
        <v>5</v>
      </c>
      <c r="E8" s="183">
        <f t="shared" si="0"/>
        <v>0.59913273035715919</v>
      </c>
      <c r="F8" s="184" t="str">
        <f>IF('Entrée des données'!$H$4="D","A","Fiche maîtresse - huile résiduelle")</f>
        <v>A</v>
      </c>
      <c r="G8" s="148">
        <f>IF(E8="","",'Entrée des données'!$B$33*E8)</f>
        <v>0</v>
      </c>
      <c r="H8" s="148">
        <f>IFERROR((1-('Entrée des données'!D63/100))*G8,"")</f>
        <v>0</v>
      </c>
      <c r="J8" s="149">
        <v>4</v>
      </c>
      <c r="K8" s="149" t="s">
        <v>36</v>
      </c>
    </row>
    <row r="9" spans="2:11" ht="15">
      <c r="B9" s="142" t="s">
        <v>717</v>
      </c>
      <c r="C9" s="154" t="s">
        <v>555</v>
      </c>
      <c r="D9" s="153">
        <f>IF('Entrée des données'!$H$4="D",2,"Fiche maîtresse - huile résiduelle")</f>
        <v>2</v>
      </c>
      <c r="E9" s="183">
        <f t="shared" si="0"/>
        <v>0.23965309214286368</v>
      </c>
      <c r="F9" s="184" t="str">
        <f>IF('Entrée des données'!$H$4="D","A","Fiche maîtresse - huile résiduelle")</f>
        <v>A</v>
      </c>
      <c r="G9" s="148">
        <f>IF(E9="","",'Entrée des données'!$B$33*E9)</f>
        <v>0</v>
      </c>
      <c r="H9" s="148">
        <f>IFERROR((1-('Entrée des données'!$D$67/100))*G9,"")</f>
        <v>0</v>
      </c>
      <c r="J9" s="149">
        <v>4</v>
      </c>
      <c r="K9" s="149" t="s">
        <v>36</v>
      </c>
    </row>
    <row r="10" spans="2:11" ht="18.75">
      <c r="B10" s="151" t="s">
        <v>723</v>
      </c>
      <c r="C10" s="152" t="s">
        <v>556</v>
      </c>
      <c r="D10" s="153">
        <f>IF('Entrée des données'!$H$4="D",E67,"Fiche maîtresse - huile résiduelle")</f>
        <v>1</v>
      </c>
      <c r="E10" s="183">
        <f>IFERROR(D10*(264.172/2.20462/1000),"")</f>
        <v>0.11982654607143184</v>
      </c>
      <c r="F10" s="184" t="str">
        <f>IF('Entrée des données'!$H$4="D",E68,"Fiche maîtresse - huile résiduelle")</f>
        <v>E</v>
      </c>
      <c r="G10" s="148">
        <f>IF(E10="","",'Entrée des données'!$B$33*E10)</f>
        <v>0</v>
      </c>
      <c r="H10" s="148">
        <f>IFERROR((1-('Entrée des données'!$D$67/100))*G10,"")</f>
        <v>0</v>
      </c>
      <c r="J10" s="149">
        <v>4</v>
      </c>
      <c r="K10" s="149" t="s">
        <v>36</v>
      </c>
    </row>
    <row r="11" spans="2:11" ht="18.75">
      <c r="B11" s="151" t="s">
        <v>724</v>
      </c>
      <c r="C11" s="152" t="s">
        <v>557</v>
      </c>
      <c r="D11" s="153">
        <f>IF('Entrée des données'!$H$4="D",E78,"Fiche maîtresse - huile résiduelle")</f>
        <v>0.25</v>
      </c>
      <c r="E11" s="183">
        <f t="shared" ref="E11:E12" si="1">IFERROR(D11*(264.172/2.20462/1000),"")</f>
        <v>2.995663651785796E-2</v>
      </c>
      <c r="F11" s="184" t="str">
        <f>IF('Entrée des données'!$H$4="D",E79,"Fiche maîtresse - huile résiduelle")</f>
        <v>E</v>
      </c>
      <c r="G11" s="148">
        <f>IF(E11="","",'Entrée des données'!$B$33*E11)</f>
        <v>0</v>
      </c>
      <c r="H11" s="148">
        <f>IFERROR((1-('Entrée des données'!$D$67/100))*G11,"")</f>
        <v>0</v>
      </c>
      <c r="J11" s="149">
        <v>4</v>
      </c>
      <c r="K11" s="149" t="s">
        <v>36</v>
      </c>
    </row>
    <row r="12" spans="2:11" ht="15">
      <c r="B12" s="142" t="s">
        <v>742</v>
      </c>
      <c r="C12" s="154" t="s">
        <v>558</v>
      </c>
      <c r="D12" s="153">
        <f>IF('Entrée des données'!$H$4="D",E89,"Fiche maîtresse - huile résiduelle")</f>
        <v>0.2</v>
      </c>
      <c r="E12" s="183">
        <f t="shared" si="1"/>
        <v>2.3965309214286371E-2</v>
      </c>
      <c r="F12" s="184" t="str">
        <f>IF('Entrée des données'!$H$4="D",E90,"Fiche maîtresse - huile résiduelle")</f>
        <v>E</v>
      </c>
      <c r="G12" s="148">
        <f>IF(E12="","",'Entrée des données'!$B$33*E12)</f>
        <v>0</v>
      </c>
      <c r="H12" s="148">
        <f>G12</f>
        <v>0</v>
      </c>
      <c r="J12" s="149">
        <v>4</v>
      </c>
      <c r="K12" s="149" t="s">
        <v>36</v>
      </c>
    </row>
    <row r="13" spans="2:11" ht="15">
      <c r="B13" s="185" t="s">
        <v>559</v>
      </c>
      <c r="C13" s="154" t="s">
        <v>560</v>
      </c>
      <c r="D13" s="153">
        <v>1.22E-6</v>
      </c>
      <c r="E13" s="183">
        <f t="shared" ref="E13:E33" si="2">D13*(264.172/2.20462/1000)</f>
        <v>1.4618838620714684E-7</v>
      </c>
      <c r="F13" s="186" t="s">
        <v>561</v>
      </c>
      <c r="G13" s="148">
        <f>'Entrée des données'!$B$33*E13</f>
        <v>0</v>
      </c>
      <c r="H13" s="148">
        <f t="shared" ref="H13:H33" si="3">G13</f>
        <v>0</v>
      </c>
      <c r="J13" s="149">
        <v>2</v>
      </c>
      <c r="K13" s="149" t="s">
        <v>36</v>
      </c>
    </row>
    <row r="14" spans="2:11" ht="15">
      <c r="B14" s="185" t="s">
        <v>562</v>
      </c>
      <c r="C14" s="154" t="s">
        <v>563</v>
      </c>
      <c r="D14" s="153">
        <v>2.14E-4</v>
      </c>
      <c r="E14" s="183">
        <f t="shared" si="2"/>
        <v>2.5642880859286414E-5</v>
      </c>
      <c r="F14" s="186" t="s">
        <v>564</v>
      </c>
      <c r="G14" s="148">
        <f>'Entrée des données'!$B$33*E14</f>
        <v>0</v>
      </c>
      <c r="H14" s="148">
        <f t="shared" si="3"/>
        <v>0</v>
      </c>
      <c r="J14" s="149" t="s">
        <v>736</v>
      </c>
      <c r="K14" s="149">
        <v>5</v>
      </c>
    </row>
    <row r="15" spans="2:11" ht="15">
      <c r="B15" s="185" t="s">
        <v>565</v>
      </c>
      <c r="C15" s="154" t="s">
        <v>566</v>
      </c>
      <c r="D15" s="153">
        <v>4.0099999999999997E-6</v>
      </c>
      <c r="E15" s="183">
        <f t="shared" si="2"/>
        <v>4.8050444974644168E-7</v>
      </c>
      <c r="F15" s="186" t="s">
        <v>567</v>
      </c>
      <c r="G15" s="148">
        <f>'Entrée des données'!$B$33*E15</f>
        <v>0</v>
      </c>
      <c r="H15" s="148">
        <f t="shared" si="3"/>
        <v>0</v>
      </c>
      <c r="J15" s="149">
        <v>2</v>
      </c>
      <c r="K15" s="149" t="s">
        <v>36</v>
      </c>
    </row>
    <row r="16" spans="2:11" ht="15">
      <c r="B16" s="185" t="s">
        <v>25</v>
      </c>
      <c r="C16" s="154" t="s">
        <v>568</v>
      </c>
      <c r="D16" s="153">
        <v>2.3800000000000001E-6</v>
      </c>
      <c r="E16" s="183">
        <f t="shared" si="2"/>
        <v>2.851871796500078E-7</v>
      </c>
      <c r="F16" s="186" t="s">
        <v>569</v>
      </c>
      <c r="G16" s="148">
        <f>'Entrée des données'!$B$33*E16</f>
        <v>0</v>
      </c>
      <c r="H16" s="148">
        <f t="shared" si="3"/>
        <v>0</v>
      </c>
      <c r="J16" s="149">
        <v>2</v>
      </c>
      <c r="K16" s="149" t="s">
        <v>36</v>
      </c>
    </row>
    <row r="17" spans="2:11" ht="15">
      <c r="B17" s="185" t="s">
        <v>570</v>
      </c>
      <c r="C17" s="154" t="s">
        <v>571</v>
      </c>
      <c r="D17" s="153">
        <v>1.48E-6</v>
      </c>
      <c r="E17" s="183">
        <f t="shared" si="2"/>
        <v>1.7734328818571913E-7</v>
      </c>
      <c r="F17" s="186" t="s">
        <v>572</v>
      </c>
      <c r="G17" s="148">
        <f>'Entrée des données'!$B$33*E17</f>
        <v>0</v>
      </c>
      <c r="H17" s="148">
        <f t="shared" si="3"/>
        <v>0</v>
      </c>
      <c r="J17" s="149">
        <v>2</v>
      </c>
      <c r="K17" s="149" t="s">
        <v>36</v>
      </c>
    </row>
    <row r="18" spans="2:11" ht="15">
      <c r="B18" s="185" t="s">
        <v>573</v>
      </c>
      <c r="C18" s="154" t="s">
        <v>574</v>
      </c>
      <c r="D18" s="153">
        <v>2.26E-6</v>
      </c>
      <c r="E18" s="183">
        <f t="shared" si="2"/>
        <v>2.7080799412143594E-7</v>
      </c>
      <c r="F18" s="186" t="s">
        <v>575</v>
      </c>
      <c r="G18" s="148">
        <f>'Entrée des données'!$B$33*E18</f>
        <v>0</v>
      </c>
      <c r="H18" s="148">
        <f t="shared" si="3"/>
        <v>0</v>
      </c>
      <c r="J18" s="149">
        <v>2</v>
      </c>
      <c r="K18" s="149" t="s">
        <v>36</v>
      </c>
    </row>
    <row r="19" spans="2:11" ht="15">
      <c r="B19" s="185" t="s">
        <v>28</v>
      </c>
      <c r="C19" s="154" t="s">
        <v>576</v>
      </c>
      <c r="D19" s="153">
        <v>1.48E-6</v>
      </c>
      <c r="E19" s="183">
        <f t="shared" si="2"/>
        <v>1.7734328818571913E-7</v>
      </c>
      <c r="F19" s="186" t="s">
        <v>577</v>
      </c>
      <c r="G19" s="148">
        <f>'Entrée des données'!$B$33*E19</f>
        <v>0</v>
      </c>
      <c r="H19" s="148">
        <f t="shared" si="3"/>
        <v>0</v>
      </c>
      <c r="J19" s="149">
        <v>2</v>
      </c>
      <c r="K19" s="149" t="s">
        <v>36</v>
      </c>
    </row>
    <row r="20" spans="2:11" ht="15">
      <c r="B20" s="185" t="s">
        <v>578</v>
      </c>
      <c r="C20" s="154" t="s">
        <v>579</v>
      </c>
      <c r="D20" s="153">
        <v>1.6700000000000001E-6</v>
      </c>
      <c r="E20" s="183">
        <f t="shared" si="2"/>
        <v>2.0011033193929119E-7</v>
      </c>
      <c r="F20" s="186" t="s">
        <v>580</v>
      </c>
      <c r="G20" s="148">
        <f>'Entrée des données'!$B$33*E20</f>
        <v>0</v>
      </c>
      <c r="H20" s="148">
        <f t="shared" si="3"/>
        <v>0</v>
      </c>
      <c r="J20" s="149">
        <v>2</v>
      </c>
      <c r="K20" s="149" t="s">
        <v>36</v>
      </c>
    </row>
    <row r="21" spans="2:11" ht="15">
      <c r="B21" s="185" t="s">
        <v>581</v>
      </c>
      <c r="C21" s="154" t="s">
        <v>582</v>
      </c>
      <c r="D21" s="153">
        <v>6.3600000000000001E-5</v>
      </c>
      <c r="E21" s="183">
        <f t="shared" si="2"/>
        <v>7.6209683301430652E-6</v>
      </c>
      <c r="F21" s="186" t="s">
        <v>583</v>
      </c>
      <c r="G21" s="148">
        <f>'Entrée des données'!$B$33*E21</f>
        <v>0</v>
      </c>
      <c r="H21" s="148">
        <f t="shared" si="3"/>
        <v>0</v>
      </c>
      <c r="J21" s="149" t="s">
        <v>736</v>
      </c>
      <c r="K21" s="149" t="s">
        <v>36</v>
      </c>
    </row>
    <row r="22" spans="2:11" ht="15">
      <c r="B22" s="185" t="s">
        <v>584</v>
      </c>
      <c r="C22" s="154" t="s">
        <v>585</v>
      </c>
      <c r="D22" s="153">
        <v>4.8400000000000002E-6</v>
      </c>
      <c r="E22" s="183">
        <f t="shared" si="2"/>
        <v>5.7996048298573011E-7</v>
      </c>
      <c r="F22" s="186" t="s">
        <v>586</v>
      </c>
      <c r="G22" s="148">
        <f>'Entrée des données'!$B$33*E22</f>
        <v>0</v>
      </c>
      <c r="H22" s="148">
        <f t="shared" si="3"/>
        <v>0</v>
      </c>
      <c r="J22" s="149">
        <v>2</v>
      </c>
      <c r="K22" s="149" t="s">
        <v>36</v>
      </c>
    </row>
    <row r="23" spans="2:11" ht="15">
      <c r="B23" s="185" t="s">
        <v>587</v>
      </c>
      <c r="C23" s="154" t="s">
        <v>588</v>
      </c>
      <c r="D23" s="153">
        <f>AVERAGE(0.035,0.061)</f>
        <v>4.8000000000000001E-2</v>
      </c>
      <c r="E23" s="183">
        <f t="shared" si="2"/>
        <v>5.7516742114287287E-3</v>
      </c>
      <c r="F23" s="186" t="s">
        <v>589</v>
      </c>
      <c r="G23" s="148">
        <f>'Entrée des données'!$B$33*E23</f>
        <v>0</v>
      </c>
      <c r="H23" s="148">
        <f t="shared" si="3"/>
        <v>0</v>
      </c>
      <c r="J23" s="149" t="s">
        <v>736</v>
      </c>
      <c r="K23" s="149">
        <v>5</v>
      </c>
    </row>
    <row r="24" spans="2:11" ht="15">
      <c r="B24" s="185" t="s">
        <v>711</v>
      </c>
      <c r="C24" s="154" t="s">
        <v>590</v>
      </c>
      <c r="D24" s="153">
        <v>2.1399999999999998E-6</v>
      </c>
      <c r="E24" s="183">
        <f t="shared" si="2"/>
        <v>2.5642880859286413E-7</v>
      </c>
      <c r="F24" s="186" t="s">
        <v>591</v>
      </c>
      <c r="G24" s="148">
        <f>'Entrée des données'!$B$33*E24</f>
        <v>0</v>
      </c>
      <c r="H24" s="148">
        <f t="shared" si="3"/>
        <v>0</v>
      </c>
      <c r="J24" s="149">
        <v>2</v>
      </c>
      <c r="K24" s="149" t="s">
        <v>36</v>
      </c>
    </row>
    <row r="25" spans="2:11" ht="15">
      <c r="B25" s="185" t="s">
        <v>592</v>
      </c>
      <c r="C25" s="154" t="s">
        <v>593</v>
      </c>
      <c r="D25" s="153">
        <v>1.1299999999999999E-3</v>
      </c>
      <c r="E25" s="183">
        <f t="shared" si="2"/>
        <v>1.3540399706071796E-4</v>
      </c>
      <c r="F25" s="186" t="s">
        <v>594</v>
      </c>
      <c r="G25" s="148">
        <f>'Entrée des données'!$B$33*E25</f>
        <v>0</v>
      </c>
      <c r="H25" s="148">
        <f t="shared" si="3"/>
        <v>0</v>
      </c>
      <c r="J25" s="149" t="s">
        <v>736</v>
      </c>
      <c r="K25" s="149" t="s">
        <v>36</v>
      </c>
    </row>
    <row r="26" spans="2:11" ht="15">
      <c r="B26" s="185" t="s">
        <v>712</v>
      </c>
      <c r="C26" s="154" t="s">
        <v>595</v>
      </c>
      <c r="D26" s="153">
        <v>3.1E-9</v>
      </c>
      <c r="E26" s="183">
        <f t="shared" si="2"/>
        <v>3.7146229282143872E-10</v>
      </c>
      <c r="F26" s="186" t="s">
        <v>596</v>
      </c>
      <c r="G26" s="148">
        <f>'Entrée des données'!$B$33*E26</f>
        <v>0</v>
      </c>
      <c r="H26" s="148">
        <f t="shared" si="3"/>
        <v>0</v>
      </c>
      <c r="J26" s="149">
        <v>3</v>
      </c>
      <c r="K26" s="149" t="s">
        <v>36</v>
      </c>
    </row>
    <row r="27" spans="2:11" ht="15">
      <c r="B27" s="185" t="s">
        <v>597</v>
      </c>
      <c r="C27" s="154" t="s">
        <v>598</v>
      </c>
      <c r="D27" s="153">
        <v>1.0499999999999999E-5</v>
      </c>
      <c r="E27" s="183">
        <f t="shared" si="2"/>
        <v>1.2581787337500342E-6</v>
      </c>
      <c r="F27" s="186" t="s">
        <v>599</v>
      </c>
      <c r="G27" s="148">
        <f>'Entrée des données'!$B$33*E27</f>
        <v>0</v>
      </c>
      <c r="H27" s="148">
        <f t="shared" si="3"/>
        <v>0</v>
      </c>
      <c r="J27" s="149">
        <v>2</v>
      </c>
      <c r="K27" s="149" t="s">
        <v>36</v>
      </c>
    </row>
    <row r="28" spans="2:11" ht="15">
      <c r="B28" s="185" t="s">
        <v>600</v>
      </c>
      <c r="C28" s="154" t="s">
        <v>601</v>
      </c>
      <c r="D28" s="153">
        <v>4.25E-6</v>
      </c>
      <c r="E28" s="183">
        <f t="shared" si="2"/>
        <v>5.092628208035853E-7</v>
      </c>
      <c r="F28" s="186" t="s">
        <v>602</v>
      </c>
      <c r="G28" s="148">
        <f>'Entrée des données'!$B$33*E28</f>
        <v>0</v>
      </c>
      <c r="H28" s="148">
        <f t="shared" si="3"/>
        <v>0</v>
      </c>
      <c r="J28" s="149">
        <v>2</v>
      </c>
      <c r="K28" s="149" t="s">
        <v>36</v>
      </c>
    </row>
    <row r="29" spans="2:11" ht="15">
      <c r="B29" s="185" t="s">
        <v>603</v>
      </c>
      <c r="C29" s="154" t="s">
        <v>604</v>
      </c>
      <c r="D29" s="153">
        <v>6.1999999999999998E-3</v>
      </c>
      <c r="E29" s="183">
        <f t="shared" si="2"/>
        <v>7.4292458564287735E-4</v>
      </c>
      <c r="F29" s="186" t="s">
        <v>605</v>
      </c>
      <c r="G29" s="148">
        <f>'Entrée des données'!$B$33*E29</f>
        <v>0</v>
      </c>
      <c r="H29" s="148">
        <f t="shared" si="3"/>
        <v>0</v>
      </c>
      <c r="J29" s="149" t="s">
        <v>736</v>
      </c>
      <c r="K29" s="149">
        <v>5</v>
      </c>
    </row>
    <row r="30" spans="2:11" ht="15">
      <c r="B30" s="158" t="s">
        <v>606</v>
      </c>
      <c r="C30" s="154" t="s">
        <v>607</v>
      </c>
      <c r="D30" s="153">
        <v>1.0900000000000001E-4</v>
      </c>
      <c r="E30" s="183">
        <f t="shared" si="2"/>
        <v>1.3061093521786072E-5</v>
      </c>
      <c r="F30" s="186" t="s">
        <v>608</v>
      </c>
      <c r="G30" s="148">
        <f>'Entrée des données'!$B$33*E30</f>
        <v>0</v>
      </c>
      <c r="H30" s="148">
        <f t="shared" si="3"/>
        <v>0</v>
      </c>
      <c r="J30" s="149" t="s">
        <v>736</v>
      </c>
      <c r="K30" s="149">
        <v>5</v>
      </c>
    </row>
    <row r="31" spans="2:11" ht="15">
      <c r="B31" s="155" t="s">
        <v>609</v>
      </c>
      <c r="C31" s="157" t="s">
        <v>610</v>
      </c>
      <c r="D31" s="153">
        <v>2.1100000000000001E-5</v>
      </c>
      <c r="E31" s="183">
        <f t="shared" si="2"/>
        <v>2.528340122107212E-6</v>
      </c>
      <c r="F31" s="186" t="s">
        <v>611</v>
      </c>
      <c r="G31" s="148">
        <f>'Entrée des données'!$B$33*E31</f>
        <v>0</v>
      </c>
      <c r="H31" s="148">
        <f t="shared" si="3"/>
        <v>0</v>
      </c>
      <c r="J31" s="149">
        <v>2</v>
      </c>
      <c r="K31" s="149" t="s">
        <v>36</v>
      </c>
    </row>
    <row r="32" spans="2:11" ht="15">
      <c r="B32" s="155" t="s">
        <v>612</v>
      </c>
      <c r="C32" s="157" t="s">
        <v>613</v>
      </c>
      <c r="D32" s="153">
        <v>2.53E-7</v>
      </c>
      <c r="E32" s="183">
        <f t="shared" si="2"/>
        <v>3.0316116156072255E-8</v>
      </c>
      <c r="F32" s="186" t="s">
        <v>614</v>
      </c>
      <c r="G32" s="148">
        <f>'Entrée des données'!$B$33*E32</f>
        <v>0</v>
      </c>
      <c r="H32" s="148">
        <f t="shared" si="3"/>
        <v>0</v>
      </c>
      <c r="J32" s="149">
        <v>2</v>
      </c>
      <c r="K32" s="149" t="s">
        <v>36</v>
      </c>
    </row>
    <row r="33" spans="2:11" ht="15">
      <c r="B33" s="155" t="s">
        <v>615</v>
      </c>
      <c r="C33" s="157" t="s">
        <v>616</v>
      </c>
      <c r="D33" s="153">
        <v>4.4700000000000004E-6</v>
      </c>
      <c r="E33" s="183">
        <f t="shared" si="2"/>
        <v>5.3562466093930034E-7</v>
      </c>
      <c r="F33" s="186" t="s">
        <v>617</v>
      </c>
      <c r="G33" s="148">
        <f>'Entrée des données'!$B$33*E33</f>
        <v>0</v>
      </c>
      <c r="H33" s="148">
        <f t="shared" si="3"/>
        <v>0</v>
      </c>
      <c r="J33" s="149">
        <v>2</v>
      </c>
      <c r="K33" s="149" t="s">
        <v>36</v>
      </c>
    </row>
    <row r="34" spans="2:11" ht="6" customHeight="1">
      <c r="B34" s="187"/>
      <c r="C34" s="188"/>
      <c r="D34" s="189"/>
      <c r="E34" s="189"/>
      <c r="F34" s="189"/>
      <c r="G34" s="190"/>
      <c r="H34" s="190"/>
      <c r="J34" s="159"/>
      <c r="K34" s="159"/>
    </row>
    <row r="35" spans="2:11" ht="18.75">
      <c r="B35" s="160" t="s">
        <v>174</v>
      </c>
      <c r="C35" s="191"/>
      <c r="D35" s="192"/>
      <c r="E35" s="189"/>
      <c r="F35" s="189"/>
      <c r="G35" s="190"/>
      <c r="H35" s="190"/>
      <c r="J35" s="159"/>
      <c r="K35" s="159"/>
    </row>
    <row r="36" spans="2:11" ht="15">
      <c r="B36" s="160" t="s">
        <v>618</v>
      </c>
      <c r="C36" s="191"/>
      <c r="D36" s="192"/>
      <c r="E36" s="189"/>
      <c r="F36" s="189"/>
      <c r="G36" s="190"/>
      <c r="H36" s="190"/>
      <c r="J36" s="159"/>
      <c r="K36" s="159"/>
    </row>
    <row r="37" spans="2:11">
      <c r="J37" s="159" t="str">
        <f>IFERROR(VLOOKUP(C37,#REF!,5,FALSE),"")</f>
        <v/>
      </c>
      <c r="K37" s="159" t="str">
        <f>IFERROR(VLOOKUP(C37,#REF!,5,FALSE),"")</f>
        <v/>
      </c>
    </row>
    <row r="38" spans="2:11" ht="36.6" customHeight="1">
      <c r="B38" s="303" t="s">
        <v>31</v>
      </c>
      <c r="C38" s="309" t="s">
        <v>619</v>
      </c>
      <c r="D38" s="304" t="s">
        <v>620</v>
      </c>
      <c r="E38" s="304"/>
      <c r="F38" s="305" t="s">
        <v>621</v>
      </c>
      <c r="G38" s="139" t="s">
        <v>622</v>
      </c>
      <c r="H38" s="139" t="s">
        <v>623</v>
      </c>
      <c r="J38" s="305" t="s">
        <v>624</v>
      </c>
      <c r="K38" s="305" t="s">
        <v>625</v>
      </c>
    </row>
    <row r="39" spans="2:11" ht="16.5">
      <c r="B39" s="303"/>
      <c r="C39" s="309"/>
      <c r="D39" s="193" t="s">
        <v>175</v>
      </c>
      <c r="E39" s="149" t="s">
        <v>626</v>
      </c>
      <c r="F39" s="306"/>
      <c r="G39" s="140" t="s">
        <v>627</v>
      </c>
      <c r="H39" s="182" t="s">
        <v>628</v>
      </c>
      <c r="J39" s="306"/>
      <c r="K39" s="306"/>
    </row>
    <row r="40" spans="2:11" ht="15">
      <c r="B40" s="155" t="s">
        <v>629</v>
      </c>
      <c r="C40" s="194" t="s">
        <v>630</v>
      </c>
      <c r="D40" s="193">
        <v>4</v>
      </c>
      <c r="E40" s="183">
        <f>$B$55*D40*1000000000/1000000000000/2.20462/1055.06</f>
        <v>6.7067743893200199E-5</v>
      </c>
      <c r="F40" s="186" t="s">
        <v>631</v>
      </c>
      <c r="G40" s="148">
        <f>'Entrée des données'!$B$33*E40</f>
        <v>0</v>
      </c>
      <c r="H40" s="148">
        <f>(1-('Entrée des données'!$D$67/100))*G40</f>
        <v>0</v>
      </c>
      <c r="J40" s="149" t="s">
        <v>737</v>
      </c>
      <c r="K40" s="149" t="str">
        <f>IFERROR(VLOOKUP(C40,#REF!,5,FALSE),"")</f>
        <v/>
      </c>
    </row>
    <row r="41" spans="2:11" ht="15">
      <c r="B41" s="155" t="s">
        <v>632</v>
      </c>
      <c r="C41" s="194" t="s">
        <v>633</v>
      </c>
      <c r="D41" s="193">
        <v>3</v>
      </c>
      <c r="E41" s="183">
        <f t="shared" ref="E41:E49" si="4">$B$55*D41*1000000000/1000000000000/2.20462/1055.06</f>
        <v>5.030080791990016E-5</v>
      </c>
      <c r="F41" s="186" t="s">
        <v>634</v>
      </c>
      <c r="G41" s="148">
        <f>'Entrée des données'!$B$33*E41</f>
        <v>0</v>
      </c>
      <c r="H41" s="148">
        <f>(1-('Entrée des données'!$D$67/100))*G41</f>
        <v>0</v>
      </c>
      <c r="J41" s="149" t="s">
        <v>737</v>
      </c>
      <c r="K41" s="149" t="str">
        <f>IFERROR(VLOOKUP(C41,#REF!,5,FALSE),"")</f>
        <v/>
      </c>
    </row>
    <row r="42" spans="2:11" ht="15">
      <c r="B42" s="155" t="s">
        <v>635</v>
      </c>
      <c r="C42" s="194" t="s">
        <v>636</v>
      </c>
      <c r="D42" s="193">
        <v>3</v>
      </c>
      <c r="E42" s="183">
        <f t="shared" si="4"/>
        <v>5.030080791990016E-5</v>
      </c>
      <c r="F42" s="186" t="s">
        <v>637</v>
      </c>
      <c r="G42" s="148">
        <f>'Entrée des données'!$B$33*E42</f>
        <v>0</v>
      </c>
      <c r="H42" s="148">
        <f>(1-('Entrée des données'!$D$67/100))*G42</f>
        <v>0</v>
      </c>
      <c r="J42" s="149" t="s">
        <v>736</v>
      </c>
      <c r="K42" s="149" t="str">
        <f>IFERROR(VLOOKUP(C42,#REF!,5,FALSE),"")</f>
        <v/>
      </c>
    </row>
    <row r="43" spans="2:11" ht="15">
      <c r="B43" s="155" t="s">
        <v>638</v>
      </c>
      <c r="C43" s="194" t="s">
        <v>639</v>
      </c>
      <c r="D43" s="193">
        <v>6</v>
      </c>
      <c r="E43" s="183">
        <f t="shared" si="4"/>
        <v>1.0060161583980032E-4</v>
      </c>
      <c r="F43" s="186" t="s">
        <v>640</v>
      </c>
      <c r="G43" s="148">
        <f>'Entrée des données'!$B$33*E43</f>
        <v>0</v>
      </c>
      <c r="H43" s="148">
        <f>(1-('Entrée des données'!$D$67/100))*G43</f>
        <v>0</v>
      </c>
      <c r="J43" s="149" t="s">
        <v>736</v>
      </c>
      <c r="K43" s="149" t="str">
        <f>IFERROR(VLOOKUP(C43,#REF!,5,FALSE),"")</f>
        <v/>
      </c>
    </row>
    <row r="44" spans="2:11" ht="15">
      <c r="B44" s="155" t="s">
        <v>22</v>
      </c>
      <c r="C44" s="194" t="s">
        <v>641</v>
      </c>
      <c r="D44" s="193">
        <v>9</v>
      </c>
      <c r="E44" s="183">
        <f t="shared" si="4"/>
        <v>1.5090242375970044E-4</v>
      </c>
      <c r="F44" s="186" t="s">
        <v>642</v>
      </c>
      <c r="G44" s="148">
        <f>'Entrée des données'!$B$33*E44</f>
        <v>0</v>
      </c>
      <c r="H44" s="148">
        <f>(1-('Entrée des données'!$D$67/100))*G44</f>
        <v>0</v>
      </c>
      <c r="J44" s="149" t="s">
        <v>737</v>
      </c>
      <c r="K44" s="149" t="str">
        <f>IFERROR(VLOOKUP(C44,#REF!,5,FALSE),"")</f>
        <v/>
      </c>
    </row>
    <row r="45" spans="2:11" ht="15">
      <c r="B45" s="155" t="s">
        <v>643</v>
      </c>
      <c r="C45" s="194" t="s">
        <v>644</v>
      </c>
      <c r="D45" s="193">
        <v>6</v>
      </c>
      <c r="E45" s="183">
        <f t="shared" si="4"/>
        <v>1.0060161583980032E-4</v>
      </c>
      <c r="F45" s="186" t="s">
        <v>645</v>
      </c>
      <c r="G45" s="148">
        <f>'Entrée des données'!$B$33*E45</f>
        <v>0</v>
      </c>
      <c r="H45" s="148">
        <f>(1-('Entrée des données'!$D$67/100))*G45</f>
        <v>0</v>
      </c>
      <c r="J45" s="149" t="s">
        <v>736</v>
      </c>
      <c r="K45" s="149" t="str">
        <f>IFERROR(VLOOKUP(C45,#REF!,5,FALSE),"")</f>
        <v/>
      </c>
    </row>
    <row r="46" spans="2:11" ht="15">
      <c r="B46" s="155" t="s">
        <v>646</v>
      </c>
      <c r="C46" s="194" t="s">
        <v>647</v>
      </c>
      <c r="D46" s="193">
        <v>3</v>
      </c>
      <c r="E46" s="183">
        <f t="shared" si="4"/>
        <v>5.030080791990016E-5</v>
      </c>
      <c r="F46" s="186" t="s">
        <v>648</v>
      </c>
      <c r="G46" s="148">
        <f>'Entrée des données'!$B$33*E46</f>
        <v>0</v>
      </c>
      <c r="H46" s="148">
        <f>(1-('Entrée des données'!$D$67/100))*G46</f>
        <v>0</v>
      </c>
      <c r="J46" s="149" t="s">
        <v>737</v>
      </c>
      <c r="K46" s="149" t="str">
        <f>IFERROR(VLOOKUP(C46,#REF!,5,FALSE),"")</f>
        <v/>
      </c>
    </row>
    <row r="47" spans="2:11" ht="15">
      <c r="B47" s="155" t="s">
        <v>649</v>
      </c>
      <c r="C47" s="194" t="s">
        <v>650</v>
      </c>
      <c r="D47" s="193">
        <v>3</v>
      </c>
      <c r="E47" s="183">
        <f t="shared" si="4"/>
        <v>5.030080791990016E-5</v>
      </c>
      <c r="F47" s="186" t="s">
        <v>651</v>
      </c>
      <c r="G47" s="148">
        <f>'Entrée des données'!$B$33*E47</f>
        <v>0</v>
      </c>
      <c r="H47" s="148">
        <f>(1-('Entrée des données'!$D$67/100))*G47</f>
        <v>0</v>
      </c>
      <c r="J47" s="149" t="s">
        <v>736</v>
      </c>
      <c r="K47" s="149" t="str">
        <f>IFERROR(VLOOKUP(C47,#REF!,5,FALSE),"")</f>
        <v/>
      </c>
    </row>
    <row r="48" spans="2:11" ht="15">
      <c r="B48" s="155" t="s">
        <v>652</v>
      </c>
      <c r="C48" s="194" t="s">
        <v>653</v>
      </c>
      <c r="D48" s="193">
        <v>15</v>
      </c>
      <c r="E48" s="183">
        <f t="shared" si="4"/>
        <v>2.5150403959950076E-4</v>
      </c>
      <c r="F48" s="186" t="s">
        <v>654</v>
      </c>
      <c r="G48" s="148">
        <f>'Entrée des données'!$B$33*E48</f>
        <v>0</v>
      </c>
      <c r="H48" s="148">
        <f>(1-('Entrée des données'!$D$67/100))*G48</f>
        <v>0</v>
      </c>
      <c r="J48" s="149" t="s">
        <v>737</v>
      </c>
      <c r="K48" s="149" t="str">
        <f>IFERROR(VLOOKUP(C48,#REF!,5,FALSE),"")</f>
        <v/>
      </c>
    </row>
    <row r="49" spans="2:11" ht="15">
      <c r="B49" s="155" t="s">
        <v>655</v>
      </c>
      <c r="C49" s="194" t="s">
        <v>656</v>
      </c>
      <c r="D49" s="193">
        <v>4</v>
      </c>
      <c r="E49" s="183">
        <f t="shared" si="4"/>
        <v>6.7067743893200199E-5</v>
      </c>
      <c r="F49" s="186" t="s">
        <v>657</v>
      </c>
      <c r="G49" s="148">
        <f>'Entrée des données'!$B$33*E49</f>
        <v>0</v>
      </c>
      <c r="H49" s="148">
        <f>(1-('Entrée des données'!$D$67/100))*G49</f>
        <v>0</v>
      </c>
      <c r="J49" s="149" t="s">
        <v>736</v>
      </c>
      <c r="K49" s="149" t="str">
        <f>IFERROR(VLOOKUP(C49,#REF!,5,FALSE),"")</f>
        <v/>
      </c>
    </row>
    <row r="50" spans="2:11" ht="2.25" customHeight="1">
      <c r="B50" s="195"/>
      <c r="C50" s="191"/>
      <c r="D50" s="159"/>
      <c r="E50" s="189"/>
      <c r="F50" s="189"/>
      <c r="G50" s="190"/>
      <c r="H50" s="190"/>
      <c r="J50" s="159"/>
      <c r="K50" s="159"/>
    </row>
    <row r="51" spans="2:11" ht="15">
      <c r="B51" s="195" t="s">
        <v>69</v>
      </c>
      <c r="C51" s="191"/>
      <c r="D51" s="159"/>
      <c r="E51" s="189"/>
      <c r="F51" s="189"/>
      <c r="G51" s="190"/>
      <c r="H51" s="190"/>
      <c r="J51" s="159"/>
      <c r="K51" s="159"/>
    </row>
    <row r="53" spans="2:11">
      <c r="B53" s="181" t="s">
        <v>185</v>
      </c>
    </row>
    <row r="54" spans="2:11" ht="16.5">
      <c r="B54" s="181" t="s">
        <v>176</v>
      </c>
    </row>
    <row r="55" spans="2:11">
      <c r="B55" s="196">
        <f>'Entrée des données'!$C$16</f>
        <v>39</v>
      </c>
    </row>
    <row r="58" spans="2:11" ht="18.75">
      <c r="B58" s="275" t="s">
        <v>177</v>
      </c>
      <c r="C58" s="275"/>
      <c r="D58" s="275"/>
      <c r="E58" s="275"/>
      <c r="F58" s="207"/>
    </row>
    <row r="59" spans="2:11" ht="4.5" customHeight="1"/>
    <row r="60" spans="2:11" ht="15">
      <c r="B60" s="197" t="s">
        <v>658</v>
      </c>
      <c r="C60" s="198"/>
      <c r="D60" s="276" t="s">
        <v>659</v>
      </c>
      <c r="E60" s="276"/>
    </row>
    <row r="61" spans="2:11" ht="15">
      <c r="B61" s="197" t="s">
        <v>660</v>
      </c>
      <c r="C61" s="198"/>
      <c r="D61" s="203" t="s">
        <v>661</v>
      </c>
      <c r="E61" s="203" t="str">
        <f>'Entrée des données'!$H$37</f>
        <v>I</v>
      </c>
    </row>
    <row r="62" spans="2:11" ht="15">
      <c r="B62" s="197" t="s">
        <v>662</v>
      </c>
      <c r="C62" s="198"/>
      <c r="D62" s="198"/>
      <c r="E62" s="198"/>
    </row>
    <row r="63" spans="2:11" ht="7.5" customHeight="1" thickBot="1">
      <c r="B63" s="199"/>
      <c r="C63" s="200"/>
      <c r="D63" s="200"/>
      <c r="E63" s="200"/>
    </row>
    <row r="64" spans="2:11" ht="16.5" customHeight="1">
      <c r="B64" s="307" t="s">
        <v>726</v>
      </c>
      <c r="C64" s="308"/>
      <c r="D64" s="290" t="s">
        <v>663</v>
      </c>
      <c r="E64" s="271" t="s">
        <v>713</v>
      </c>
    </row>
    <row r="65" spans="2:5" ht="15" customHeight="1">
      <c r="B65" s="279" t="s">
        <v>664</v>
      </c>
      <c r="C65" s="204"/>
      <c r="D65" s="292"/>
      <c r="E65" s="272"/>
    </row>
    <row r="66" spans="2:5" ht="17.25" customHeight="1" thickBot="1">
      <c r="B66" s="279"/>
      <c r="C66" s="203" t="s">
        <v>158</v>
      </c>
      <c r="D66" s="212" t="s">
        <v>160</v>
      </c>
      <c r="E66" s="273"/>
    </row>
    <row r="67" spans="2:5" ht="15" thickBot="1">
      <c r="B67" s="219" t="s">
        <v>665</v>
      </c>
      <c r="C67" s="178">
        <v>1</v>
      </c>
      <c r="D67" s="213" t="s">
        <v>666</v>
      </c>
      <c r="E67" s="210">
        <f>INDEX($C$67:$D$69,MATCH($E$61,$B$67:$B$69,0),MATCH("FE",$C$66:$D$66,0))</f>
        <v>1</v>
      </c>
    </row>
    <row r="68" spans="2:5" ht="15" thickBot="1">
      <c r="B68" s="219" t="s">
        <v>667</v>
      </c>
      <c r="C68" s="178">
        <v>1.08</v>
      </c>
      <c r="D68" s="213" t="s">
        <v>668</v>
      </c>
      <c r="E68" s="211" t="str">
        <f>INDEX($C$67:$D$69,MATCH($E$61,$B$67:$B$69,0),MATCH("Cote",$C$66:$D$66,0))</f>
        <v>E</v>
      </c>
    </row>
    <row r="69" spans="2:5" ht="15" thickBot="1">
      <c r="B69" s="220" t="s">
        <v>669</v>
      </c>
      <c r="C69" s="214">
        <v>1</v>
      </c>
      <c r="D69" s="215" t="s">
        <v>670</v>
      </c>
    </row>
    <row r="70" spans="2:5" ht="3" customHeight="1">
      <c r="B70" s="197"/>
      <c r="C70" s="198"/>
      <c r="D70" s="200"/>
      <c r="E70" s="200"/>
    </row>
    <row r="71" spans="2:5" ht="15">
      <c r="B71" s="217" t="s">
        <v>186</v>
      </c>
      <c r="C71" s="198"/>
      <c r="D71" s="200"/>
      <c r="E71" s="200"/>
    </row>
    <row r="72" spans="2:5" ht="15">
      <c r="B72" s="217" t="s">
        <v>159</v>
      </c>
      <c r="C72" s="198"/>
      <c r="D72" s="200"/>
      <c r="E72" s="200"/>
    </row>
    <row r="73" spans="2:5" ht="15">
      <c r="B73" s="218" t="s">
        <v>187</v>
      </c>
      <c r="C73" s="198"/>
      <c r="D73" s="200"/>
      <c r="E73" s="200"/>
    </row>
    <row r="74" spans="2:5" ht="15.75" thickBot="1">
      <c r="B74" s="197"/>
      <c r="C74" s="198"/>
      <c r="D74" s="200"/>
      <c r="E74" s="200"/>
    </row>
    <row r="75" spans="2:5" ht="17.25">
      <c r="B75" s="307" t="s">
        <v>727</v>
      </c>
      <c r="C75" s="308"/>
      <c r="D75" s="290" t="s">
        <v>671</v>
      </c>
      <c r="E75" s="271" t="s">
        <v>713</v>
      </c>
    </row>
    <row r="76" spans="2:5">
      <c r="B76" s="279" t="s">
        <v>672</v>
      </c>
      <c r="C76" s="204"/>
      <c r="D76" s="292"/>
      <c r="E76" s="272"/>
    </row>
    <row r="77" spans="2:5" ht="15" thickBot="1">
      <c r="B77" s="279"/>
      <c r="C77" s="203" t="s">
        <v>673</v>
      </c>
      <c r="D77" s="212" t="s">
        <v>674</v>
      </c>
      <c r="E77" s="273"/>
    </row>
    <row r="78" spans="2:5" ht="15" thickBot="1">
      <c r="B78" s="219" t="s">
        <v>675</v>
      </c>
      <c r="C78" s="178">
        <v>0.25</v>
      </c>
      <c r="D78" s="213" t="s">
        <v>676</v>
      </c>
      <c r="E78" s="216">
        <f>INDEX($C$78:$D$80,MATCH($E$61,$B$78:$B$80,0),MATCH("FE",$C$77:$D$77,0))</f>
        <v>0.25</v>
      </c>
    </row>
    <row r="79" spans="2:5" ht="15" thickBot="1">
      <c r="B79" s="219" t="s">
        <v>677</v>
      </c>
      <c r="C79" s="178">
        <v>0.83</v>
      </c>
      <c r="D79" s="213" t="s">
        <v>678</v>
      </c>
      <c r="E79" s="211" t="str">
        <f>INDEX($C$67:$D$69,MATCH($E$61,$B$67:$B$69,0),MATCH("Cote",$C$66:$D$66,0))</f>
        <v>E</v>
      </c>
    </row>
    <row r="80" spans="2:5" ht="15" thickBot="1">
      <c r="B80" s="220" t="s">
        <v>679</v>
      </c>
      <c r="C80" s="214">
        <v>0.25</v>
      </c>
      <c r="D80" s="215" t="s">
        <v>680</v>
      </c>
    </row>
    <row r="81" spans="2:5" ht="3.75" customHeight="1">
      <c r="B81" s="197"/>
      <c r="C81" s="198"/>
      <c r="D81" s="200"/>
      <c r="E81" s="200"/>
    </row>
    <row r="82" spans="2:5" ht="15">
      <c r="B82" s="217" t="s">
        <v>681</v>
      </c>
      <c r="C82" s="198"/>
      <c r="D82" s="200"/>
      <c r="E82" s="200"/>
    </row>
    <row r="83" spans="2:5" ht="15">
      <c r="B83" s="217" t="s">
        <v>682</v>
      </c>
      <c r="C83" s="198"/>
      <c r="D83" s="200"/>
      <c r="E83" s="200"/>
    </row>
    <row r="84" spans="2:5" ht="15">
      <c r="B84" s="218" t="s">
        <v>683</v>
      </c>
      <c r="C84" s="198"/>
      <c r="D84" s="200"/>
      <c r="E84" s="200"/>
    </row>
    <row r="85" spans="2:5" ht="15.75" thickBot="1">
      <c r="B85" s="197"/>
      <c r="C85" s="198"/>
      <c r="D85" s="200"/>
      <c r="E85" s="200"/>
    </row>
    <row r="86" spans="2:5" ht="17.25" customHeight="1">
      <c r="B86" s="307" t="s">
        <v>178</v>
      </c>
      <c r="C86" s="308"/>
      <c r="D86" s="290" t="s">
        <v>684</v>
      </c>
      <c r="E86" s="271" t="s">
        <v>713</v>
      </c>
    </row>
    <row r="87" spans="2:5">
      <c r="B87" s="279" t="s">
        <v>685</v>
      </c>
      <c r="C87" s="204"/>
      <c r="D87" s="292"/>
      <c r="E87" s="272"/>
    </row>
    <row r="88" spans="2:5" ht="15" thickBot="1">
      <c r="B88" s="279"/>
      <c r="C88" s="203" t="s">
        <v>686</v>
      </c>
      <c r="D88" s="212" t="s">
        <v>687</v>
      </c>
      <c r="E88" s="273"/>
    </row>
    <row r="89" spans="2:5" ht="15" thickBot="1">
      <c r="B89" s="219" t="s">
        <v>688</v>
      </c>
      <c r="C89" s="178">
        <v>0.2</v>
      </c>
      <c r="D89" s="213" t="s">
        <v>689</v>
      </c>
      <c r="E89" s="209">
        <f>INDEX($C$89:$D$91,MATCH($E$61,$B$89:$B$91,0),MATCH("FE",$C$88:$D$88,0))</f>
        <v>0.2</v>
      </c>
    </row>
    <row r="90" spans="2:5" ht="15" thickBot="1">
      <c r="B90" s="219" t="s">
        <v>690</v>
      </c>
      <c r="C90" s="178">
        <v>0.34</v>
      </c>
      <c r="D90" s="213" t="s">
        <v>691</v>
      </c>
      <c r="E90" s="201" t="str">
        <f>INDEX($C$67:$D$69,MATCH($E$61,$B$67:$B$69,0),MATCH("Cote",$C$66:$D$66,0))</f>
        <v>E</v>
      </c>
    </row>
    <row r="91" spans="2:5" ht="15" thickBot="1">
      <c r="B91" s="220" t="s">
        <v>692</v>
      </c>
      <c r="C91" s="214">
        <v>0.2</v>
      </c>
      <c r="D91" s="215" t="s">
        <v>693</v>
      </c>
    </row>
    <row r="92" spans="2:5" ht="5.25" customHeight="1">
      <c r="B92" s="199"/>
      <c r="C92" s="200"/>
      <c r="D92" s="200"/>
      <c r="E92" s="200"/>
    </row>
    <row r="93" spans="2:5" ht="15">
      <c r="B93" s="195" t="s">
        <v>694</v>
      </c>
      <c r="C93" s="200"/>
      <c r="D93" s="200"/>
      <c r="E93" s="200"/>
    </row>
    <row r="94" spans="2:5" ht="15">
      <c r="B94" s="195" t="s">
        <v>695</v>
      </c>
      <c r="C94" s="200"/>
      <c r="D94" s="200"/>
      <c r="E94" s="200"/>
    </row>
    <row r="95" spans="2:5" ht="15">
      <c r="B95" s="218" t="s">
        <v>696</v>
      </c>
      <c r="C95" s="200"/>
      <c r="D95" s="200"/>
      <c r="E95" s="200"/>
    </row>
  </sheetData>
  <sheetProtection password="CA53" sheet="1" objects="1" scenarios="1"/>
  <mergeCells count="26">
    <mergeCell ref="E75:E77"/>
    <mergeCell ref="D4:E4"/>
    <mergeCell ref="J4:J5"/>
    <mergeCell ref="B65:B66"/>
    <mergeCell ref="B64:C64"/>
    <mergeCell ref="E64:E66"/>
    <mergeCell ref="D64:D65"/>
    <mergeCell ref="D60:E60"/>
    <mergeCell ref="B76:B77"/>
    <mergeCell ref="B58:E58"/>
    <mergeCell ref="B86:C86"/>
    <mergeCell ref="D86:D87"/>
    <mergeCell ref="E86:E88"/>
    <mergeCell ref="B87:B88"/>
    <mergeCell ref="K4:K5"/>
    <mergeCell ref="B4:B5"/>
    <mergeCell ref="C4:C5"/>
    <mergeCell ref="F4:F5"/>
    <mergeCell ref="J38:J39"/>
    <mergeCell ref="K38:K39"/>
    <mergeCell ref="F38:F39"/>
    <mergeCell ref="B38:B39"/>
    <mergeCell ref="C38:C39"/>
    <mergeCell ref="D38:E38"/>
    <mergeCell ref="B75:C75"/>
    <mergeCell ref="D75:D76"/>
  </mergeCells>
  <pageMargins left="0.39370078740157483" right="0.39370078740157483" top="0.55118110236220474" bottom="0.39370078740157483" header="0.31496062992125984" footer="0.31496062992125984"/>
  <pageSetup scale="58" orientation="landscape" r:id="rId1"/>
  <rowBreaks count="1" manualBreakCount="1">
    <brk id="56" max="8" man="1"/>
  </rowBreaks>
  <extLst>
    <ext xmlns:x14="http://schemas.microsoft.com/office/spreadsheetml/2009/9/main" uri="{78C0D931-6437-407d-A8EE-F0AAD7539E65}">
      <x14:conditionalFormattings>
        <x14:conditionalFormatting xmlns:xm="http://schemas.microsoft.com/office/excel/2006/main">
          <x14:cfRule type="expression" priority="3" id="{A90EA407-C66D-4031-8A75-BA77B6B5964A}">
            <xm:f>'Entrée des données'!$H$4="R"</xm:f>
            <x14:dxf>
              <fill>
                <patternFill patternType="darkGray"/>
              </fill>
            </x14:dxf>
          </x14:cfRule>
          <xm:sqref>D6:H30 D40:H49 E31:E33 G31:H33</xm:sqref>
        </x14:conditionalFormatting>
        <x14:conditionalFormatting xmlns:xm="http://schemas.microsoft.com/office/excel/2006/main">
          <x14:cfRule type="expression" priority="2" id="{51F771B6-20B4-4030-ABF1-D1152D5A6305}">
            <xm:f>'Entrée des données'!$H$4="R"</xm:f>
            <x14:dxf>
              <fill>
                <patternFill patternType="darkGray"/>
              </fill>
            </x14:dxf>
          </x14:cfRule>
          <xm:sqref>D31:D33</xm:sqref>
        </x14:conditionalFormatting>
        <x14:conditionalFormatting xmlns:xm="http://schemas.microsoft.com/office/excel/2006/main">
          <x14:cfRule type="expression" priority="1" id="{C8936411-4B47-4745-A0EE-B56F36CB3EF5}">
            <xm:f>'Entrée des données'!$H$4="R"</xm:f>
            <x14:dxf>
              <fill>
                <patternFill patternType="darkGray"/>
              </fill>
            </x14:dxf>
          </x14:cfRule>
          <xm:sqref>F31:F33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f W d r U D a U 8 a + n A A A A + A A A A B I A H A B D b 2 5 m a W c v U G F j a 2 F n Z S 5 4 b W w g o h g A K K A U A A A A A A A A A A A A A A A A A A A A A A A A A A A A h Y / B C o I w H I d f R X Z 3 m 2 Y o 8 n c S X h O C I L q O u X S k M + Z s v l u H H q l X S C i r W 8 f f x 3 f 4 f o / b H f K p a 7 2 r N I P q d Y Y C T J E n t e g r p e s M j f b k J y h n s O P i z G v p z b I e 0 m m o M t R Y e 0 k J c c 5 h t 8 K 9 q U l I a U C O 5 X Y v G t l x 9 J H V f 9 l X e r B c C 4 k Y H F 4 x L M R x g t d x R H G U B E A W D K X S X y W c i z E F 8 g O h G F s 7 G s l O x i 8 2 Q J Y J 5 P 2 C P Q F Q S w M E F A A C A A g A f W d 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n a 1 A o i k e 4 D g A A A B E A A A A T A B w A R m 9 y b X V s Y X M v U 2 V j d G l v b j E u b S C i G A A o o B Q A A A A A A A A A A A A A A A A A A A A A A A A A A A A r T k 0 u y c z P U w i G 0 I b W A F B L A Q I t A B Q A A g A I A H 1 n a 1 A 2 l P G v p w A A A P g A A A A S A A A A A A A A A A A A A A A A A A A A A A B D b 2 5 m a W c v U G F j a 2 F n Z S 5 4 b W x Q S w E C L Q A U A A I A C A B 9 Z 2 t Q D 8 r p q 6 Q A A A D p A A A A E w A A A A A A A A A A A A A A A A D z A A A A W 0 N v b n R l b n R f V H l w Z X N d L n h t b F B L A Q I t A B Q A A g A I A H 1 n a 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n s t V c o c j o Q q 4 G + R r b b a Z O A A A A A A I A A A A A A B B m A A A A A Q A A I A A A A H m i q 2 P j U h 0 e q P k M Z j K x H H N p k p c + Q 8 2 j l S T q 3 R 4 a X v 2 d A A A A A A 6 A A A A A A g A A I A A A A D o u L P V 9 F d z 8 S c x A 0 1 K g D h L h T P l L 7 w u R z W k T c Y y q Q r F 4 U A A A A L 5 y Y D W p 0 G E V C a o U Q 0 j R i f 8 Y H D Y E 8 r 4 d Z t 5 Q n 4 c 6 G H V 8 2 d M l a q u 3 2 M h 2 o R 3 l s t 9 s 7 p z Y g J 7 r q K P r 6 I F P 0 J + n D j x 2 2 i v 3 H r M x 0 H G 7 s d I q C 5 5 S Q A A A A M s l q G 4 O 5 s m R s e 9 V p B x j B a T 3 U / x z Y o 9 0 5 + J C B R 1 2 D i F D K 9 I s 4 N J 6 p W g 5 j z 0 x 4 c u o C Q B l U N h z Q f q J a D r e J Y z F y l c = < / D a t a M a s h u p > 
</file>

<file path=customXml/itemProps1.xml><?xml version="1.0" encoding="utf-8"?>
<ds:datastoreItem xmlns:ds="http://schemas.openxmlformats.org/officeDocument/2006/customXml" ds:itemID="{0EB5358A-1D2D-4998-B34A-E9B0E640B8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Instructions</vt:lpstr>
      <vt:lpstr>Entrée des données</vt:lpstr>
      <vt:lpstr>Rejets de la partie 1</vt:lpstr>
      <vt:lpstr>Rejets des parties 2 et 3</vt:lpstr>
      <vt:lpstr>Rejets de la partie 4 </vt:lpstr>
      <vt:lpstr>Rejets de la partie 5</vt:lpstr>
      <vt:lpstr>FE propres aux sites</vt:lpstr>
      <vt:lpstr>FICHE MAÎTRESSE - H. RÉSIDUELLE</vt:lpstr>
      <vt:lpstr>FICHE MAÎTRESSE - H. DISTILLÉE</vt:lpstr>
      <vt:lpstr>'Entrée des données'!Print_Area</vt:lpstr>
      <vt:lpstr>'FE propres aux sites'!Print_Area</vt:lpstr>
      <vt:lpstr>'FICHE MAÎTRESSE - H. DISTILLÉE'!Print_Area</vt:lpstr>
      <vt:lpstr>'FICHE MAÎTRESSE - H. RÉSIDUELLE'!Print_Area</vt:lpstr>
      <vt:lpstr>Instructions!Print_Area</vt:lpstr>
      <vt:lpstr>'Rejets de la partie 1'!Print_Area</vt:lpstr>
      <vt:lpstr>'Rejets de la partie 4 '!Print_Area</vt:lpstr>
      <vt:lpstr>'Rejets de la partie 5'!Print_Area</vt:lpstr>
      <vt:lpstr>'Rejets des parties 2 et 3'!Print_Area</vt:lpstr>
      <vt:lpstr>'Entrée des données'!Print_Titles</vt:lpstr>
      <vt:lpstr>'FICHE MAÎTRESSE - H. DISTILLÉE'!Print_Titles</vt:lpstr>
      <vt:lpstr>'FICHE MAÎTRESSE - H. RÉSIDUELLE'!Print_Titles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Asili, Vahid</dc:creator>
  <cp:lastModifiedBy>Hawirko,Jason [Edm]</cp:lastModifiedBy>
  <cp:lastPrinted>2020-03-02T20:18:13Z</cp:lastPrinted>
  <dcterms:created xsi:type="dcterms:W3CDTF">2020-01-10T15:48:31Z</dcterms:created>
  <dcterms:modified xsi:type="dcterms:W3CDTF">2023-02-01T16:15:52Z</dcterms:modified>
</cp:coreProperties>
</file>