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cr.int.ec.gc.ca\shares\S\SRAD_PID\NPRI Implementation\Toolbox_v2\_Tools_Guides\Fuel Oil - Boilers_Heaters\"/>
    </mc:Choice>
  </mc:AlternateContent>
  <bookViews>
    <workbookView xWindow="-135" yWindow="-135" windowWidth="29070" windowHeight="15870" tabRatio="744"/>
  </bookViews>
  <sheets>
    <sheet name="Instructions" sheetId="13" r:id="rId1"/>
    <sheet name="Input Information" sheetId="1" r:id="rId2"/>
    <sheet name="Part 1 Releases" sheetId="14" r:id="rId3"/>
    <sheet name="Parts 2 and 3 Releases" sheetId="9" r:id="rId4"/>
    <sheet name="Part 4 Releases " sheetId="15" r:id="rId5"/>
    <sheet name="Part 5 Releases" sheetId="16" r:id="rId6"/>
    <sheet name="Site-Specific Emission Factors" sheetId="17" r:id="rId7"/>
    <sheet name="RESIDUAL MASTER SHEET" sheetId="6" r:id="rId8"/>
    <sheet name="DISTILLATE MASTER SHEET" sheetId="3" r:id="rId9"/>
  </sheets>
  <definedNames>
    <definedName name="_xlnm._FilterDatabase" localSheetId="8" hidden="1">'DISTILLATE MASTER SHEET'!$J$2:$J$95</definedName>
    <definedName name="_xlnm._FilterDatabase" localSheetId="7" hidden="1">'RESIDUAL MASTER SHEET'!$K$4:$L$48</definedName>
    <definedName name="_xlnm.Print_Area" localSheetId="8">'DISTILLATE MASTER SHEET'!$A$1:$I$96</definedName>
    <definedName name="_xlnm.Print_Area" localSheetId="1">'Input Information'!$A$1:$I$67</definedName>
    <definedName name="_xlnm.Print_Area" localSheetId="0">Instructions!$A$1:$A$38</definedName>
    <definedName name="_xlnm.Print_Area" localSheetId="2">'Part 1 Releases'!$A$1:$H$33</definedName>
    <definedName name="_xlnm.Print_Area" localSheetId="4">'Part 4 Releases '!$A$1:$H$12</definedName>
    <definedName name="_xlnm.Print_Area" localSheetId="5">'Part 5 Releases'!$A$1:$H$9</definedName>
    <definedName name="_xlnm.Print_Area" localSheetId="3">'Parts 2 and 3 Releases'!$A$1:$J$29</definedName>
    <definedName name="_xlnm.Print_Area" localSheetId="7">'RESIDUAL MASTER SHEET'!$A$1:$J$101</definedName>
    <definedName name="_xlnm.Print_Area" localSheetId="6">'Site-Specific Emission Factors'!$A$1:$J$13</definedName>
    <definedName name="_xlnm.Print_Titles" localSheetId="8">'DISTILLATE MASTER SHEET'!$1:$2</definedName>
    <definedName name="_xlnm.Print_Titles" localSheetId="1">'Input Information'!$1:$1</definedName>
    <definedName name="_xlnm.Print_Titles" localSheetId="7">'RESIDUAL MASTER SHEET'!$1:$2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9" l="1"/>
  <c r="F4" i="9"/>
  <c r="F5" i="9"/>
  <c r="F14" i="9"/>
  <c r="E31" i="3"/>
  <c r="G31" i="3" s="1"/>
  <c r="H31" i="3" s="1"/>
  <c r="E32" i="3"/>
  <c r="G32" i="3" s="1"/>
  <c r="H32" i="3" s="1"/>
  <c r="E33" i="3"/>
  <c r="G33" i="3" s="1"/>
  <c r="H33" i="3" s="1"/>
  <c r="G47" i="6"/>
  <c r="E46" i="6"/>
  <c r="G46" i="6" s="1"/>
  <c r="E47" i="6"/>
  <c r="E48" i="6"/>
  <c r="G48" i="6" s="1"/>
  <c r="E45" i="6"/>
  <c r="G7" i="17" l="1"/>
  <c r="G8" i="17"/>
  <c r="G9" i="17"/>
  <c r="G10" i="17"/>
  <c r="G6" i="17"/>
  <c r="G100" i="1" l="1"/>
  <c r="F100" i="1"/>
  <c r="E81" i="6"/>
  <c r="C16" i="1" l="1"/>
  <c r="B33" i="1" l="1"/>
  <c r="F5" i="16" l="1"/>
  <c r="F7" i="9"/>
  <c r="F6" i="16"/>
  <c r="F8" i="9"/>
  <c r="F7" i="16"/>
  <c r="F9" i="9"/>
  <c r="F10" i="9"/>
  <c r="F4" i="16"/>
  <c r="F6" i="15"/>
  <c r="F11" i="9"/>
  <c r="F4" i="15"/>
  <c r="F12" i="9"/>
  <c r="F8" i="15"/>
  <c r="F13" i="9"/>
  <c r="F16" i="9"/>
  <c r="F9" i="15"/>
  <c r="F15" i="9"/>
  <c r="F10" i="15"/>
  <c r="F7" i="15"/>
  <c r="F6" i="9"/>
  <c r="F5" i="15"/>
  <c r="F26" i="9"/>
  <c r="F27" i="14"/>
  <c r="F11" i="14"/>
  <c r="F13" i="14"/>
  <c r="F15" i="14"/>
  <c r="F5" i="14"/>
  <c r="F6" i="14"/>
  <c r="F26" i="14"/>
  <c r="F28" i="14"/>
  <c r="F12" i="14"/>
  <c r="F29" i="14"/>
  <c r="F14" i="14"/>
  <c r="F31" i="14"/>
  <c r="F25" i="14"/>
  <c r="F4" i="14"/>
  <c r="F9" i="14"/>
  <c r="F30" i="14"/>
  <c r="F16" i="14"/>
  <c r="F17" i="14"/>
  <c r="F8" i="14"/>
  <c r="F10" i="14"/>
  <c r="F7" i="14"/>
  <c r="F110" i="1"/>
  <c r="F109" i="1"/>
  <c r="F108" i="1"/>
  <c r="F107" i="1"/>
  <c r="G98" i="1"/>
  <c r="G108" i="1"/>
  <c r="G109" i="1"/>
  <c r="G110" i="1"/>
  <c r="G107" i="1"/>
  <c r="G101" i="1"/>
  <c r="G97" i="1"/>
  <c r="G99" i="1"/>
  <c r="G96" i="1"/>
  <c r="G102" i="1"/>
  <c r="F99" i="1"/>
  <c r="F101" i="1"/>
  <c r="F97" i="1"/>
  <c r="F98" i="1"/>
  <c r="F96" i="1"/>
  <c r="D46" i="1" l="1"/>
  <c r="D88" i="6" l="1"/>
  <c r="H4" i="1"/>
  <c r="H37" i="1"/>
  <c r="H7" i="1"/>
  <c r="F65" i="6" s="1"/>
  <c r="E5" i="9" l="1"/>
  <c r="E9" i="9"/>
  <c r="E11" i="9"/>
  <c r="E17" i="9"/>
  <c r="E7" i="9"/>
  <c r="E14" i="9"/>
  <c r="E6" i="9"/>
  <c r="C4" i="9"/>
  <c r="E10" i="9"/>
  <c r="C5" i="9"/>
  <c r="C14" i="9"/>
  <c r="E15" i="9"/>
  <c r="E4" i="9"/>
  <c r="E8" i="9"/>
  <c r="E13" i="9"/>
  <c r="E12" i="9"/>
  <c r="E16" i="9"/>
  <c r="E126" i="1"/>
  <c r="F66" i="6"/>
  <c r="G98" i="6" s="1"/>
  <c r="F12" i="6" s="1"/>
  <c r="E61" i="3"/>
  <c r="F6" i="3"/>
  <c r="E5" i="15" s="1"/>
  <c r="F7" i="3"/>
  <c r="E6" i="15" s="1"/>
  <c r="F9" i="3"/>
  <c r="D9" i="3"/>
  <c r="E9" i="3" s="1"/>
  <c r="G9" i="3" s="1"/>
  <c r="D8" i="3"/>
  <c r="E8" i="3" s="1"/>
  <c r="G8" i="3" s="1"/>
  <c r="F8" i="3"/>
  <c r="E4" i="15" s="1"/>
  <c r="D7" i="3"/>
  <c r="E7" i="3" s="1"/>
  <c r="G7" i="3" s="1"/>
  <c r="E5" i="16"/>
  <c r="E29" i="14"/>
  <c r="E6" i="16"/>
  <c r="E26" i="14"/>
  <c r="E30" i="14"/>
  <c r="E7" i="16"/>
  <c r="E26" i="9"/>
  <c r="E27" i="14"/>
  <c r="E31" i="14"/>
  <c r="E4" i="16"/>
  <c r="E28" i="14"/>
  <c r="E25" i="14"/>
  <c r="E6" i="14"/>
  <c r="E4" i="14"/>
  <c r="E9" i="14"/>
  <c r="E10" i="14"/>
  <c r="E11" i="14"/>
  <c r="E14" i="14"/>
  <c r="E17" i="14"/>
  <c r="E7" i="14"/>
  <c r="E13" i="14"/>
  <c r="E15" i="14"/>
  <c r="E5" i="14"/>
  <c r="E8" i="14"/>
  <c r="E12" i="14"/>
  <c r="E16" i="14"/>
  <c r="F60" i="6"/>
  <c r="F9" i="6" s="1"/>
  <c r="D65" i="1"/>
  <c r="D67" i="1" s="1"/>
  <c r="D53" i="1"/>
  <c r="D55" i="1" s="1"/>
  <c r="D61" i="1"/>
  <c r="D63" i="1" s="1"/>
  <c r="D57" i="1"/>
  <c r="D59" i="1" s="1"/>
  <c r="F57" i="6"/>
  <c r="D7" i="6" s="1"/>
  <c r="E7" i="6" s="1"/>
  <c r="G7" i="6" s="1"/>
  <c r="F58" i="6"/>
  <c r="D8" i="6" s="1"/>
  <c r="E8" i="6" s="1"/>
  <c r="G8" i="6" s="1"/>
  <c r="E89" i="6"/>
  <c r="D89" i="6"/>
  <c r="E80" i="6"/>
  <c r="D80" i="6"/>
  <c r="E88" i="6"/>
  <c r="E79" i="6"/>
  <c r="D79" i="6"/>
  <c r="E90" i="6"/>
  <c r="D90" i="6"/>
  <c r="D81" i="6"/>
  <c r="E32" i="6"/>
  <c r="G32" i="6" s="1"/>
  <c r="E33" i="6"/>
  <c r="G33" i="6" s="1"/>
  <c r="E34" i="6"/>
  <c r="G34" i="6" s="1"/>
  <c r="E35" i="6"/>
  <c r="G35" i="6" s="1"/>
  <c r="H35" i="6" s="1"/>
  <c r="E36" i="6"/>
  <c r="G36" i="6" s="1"/>
  <c r="E37" i="6"/>
  <c r="G37" i="6" s="1"/>
  <c r="H37" i="6" s="1"/>
  <c r="E38" i="6"/>
  <c r="E39" i="6"/>
  <c r="G39" i="6" s="1"/>
  <c r="E40" i="6"/>
  <c r="E41" i="6"/>
  <c r="G41" i="6" s="1"/>
  <c r="E42" i="6"/>
  <c r="G42" i="6" s="1"/>
  <c r="H42" i="6" s="1"/>
  <c r="E43" i="6"/>
  <c r="G43" i="6" s="1"/>
  <c r="H43" i="6" s="1"/>
  <c r="E44" i="6"/>
  <c r="G44" i="6" s="1"/>
  <c r="G45" i="6"/>
  <c r="E31" i="6"/>
  <c r="E30" i="6"/>
  <c r="G30" i="6" s="1"/>
  <c r="E28" i="6"/>
  <c r="E27" i="6"/>
  <c r="G27" i="6" s="1"/>
  <c r="H27" i="6" s="1"/>
  <c r="E26" i="6"/>
  <c r="E25" i="6"/>
  <c r="G25" i="6" s="1"/>
  <c r="E24" i="6"/>
  <c r="G24" i="6" s="1"/>
  <c r="E23" i="6"/>
  <c r="G23" i="6" s="1"/>
  <c r="E22" i="6"/>
  <c r="G22" i="6" s="1"/>
  <c r="E21" i="6"/>
  <c r="E20" i="6"/>
  <c r="E19" i="6"/>
  <c r="E18" i="6"/>
  <c r="E17" i="6"/>
  <c r="E16" i="6"/>
  <c r="G16" i="6" s="1"/>
  <c r="H16" i="6" s="1"/>
  <c r="E15" i="6"/>
  <c r="G15" i="6" s="1"/>
  <c r="E14" i="6"/>
  <c r="G14" i="6" s="1"/>
  <c r="E13" i="6"/>
  <c r="G40" i="6" l="1"/>
  <c r="H40" i="6" s="1"/>
  <c r="G17" i="6"/>
  <c r="H17" i="6" s="1"/>
  <c r="G38" i="6"/>
  <c r="H38" i="6" s="1"/>
  <c r="G28" i="6"/>
  <c r="H28" i="6" s="1"/>
  <c r="G18" i="6"/>
  <c r="H18" i="6" s="1"/>
  <c r="G31" i="6"/>
  <c r="H31" i="6" s="1"/>
  <c r="G13" i="6"/>
  <c r="H13" i="6" s="1"/>
  <c r="G19" i="6"/>
  <c r="H19" i="6" s="1"/>
  <c r="G20" i="6"/>
  <c r="H20" i="6" s="1"/>
  <c r="G26" i="6"/>
  <c r="H26" i="6" s="1"/>
  <c r="G21" i="6"/>
  <c r="H21" i="6" s="1"/>
  <c r="H48" i="6"/>
  <c r="G14" i="9" s="1"/>
  <c r="H47" i="6"/>
  <c r="G5" i="9" s="1"/>
  <c r="H46" i="6"/>
  <c r="G4" i="9" s="1"/>
  <c r="C10" i="14"/>
  <c r="C17" i="14"/>
  <c r="G97" i="6"/>
  <c r="D12" i="6" s="1"/>
  <c r="E12" i="6" s="1"/>
  <c r="E68" i="3"/>
  <c r="F10" i="3" s="1"/>
  <c r="E89" i="3"/>
  <c r="D12" i="3" s="1"/>
  <c r="E12" i="3" s="1"/>
  <c r="G12" i="3" s="1"/>
  <c r="H12" i="3" s="1"/>
  <c r="E90" i="3"/>
  <c r="F12" i="3" s="1"/>
  <c r="E7" i="15" s="1"/>
  <c r="E79" i="3"/>
  <c r="F11" i="3" s="1"/>
  <c r="E67" i="3"/>
  <c r="D10" i="3" s="1"/>
  <c r="E10" i="3" s="1"/>
  <c r="G10" i="3" s="1"/>
  <c r="H10" i="3" s="1"/>
  <c r="E78" i="3"/>
  <c r="D11" i="3" s="1"/>
  <c r="E11" i="3" s="1"/>
  <c r="G11" i="3" s="1"/>
  <c r="H11" i="3" s="1"/>
  <c r="H9" i="3"/>
  <c r="H8" i="3"/>
  <c r="E8" i="15"/>
  <c r="G89" i="6"/>
  <c r="F11" i="6" s="1"/>
  <c r="D29" i="6"/>
  <c r="E29" i="6" s="1"/>
  <c r="G29" i="6" s="1"/>
  <c r="H29" i="6" s="1"/>
  <c r="C31" i="14"/>
  <c r="C27" i="14"/>
  <c r="C16" i="14"/>
  <c r="G80" i="6"/>
  <c r="F10" i="6" s="1"/>
  <c r="H14" i="6"/>
  <c r="G10" i="14" s="1"/>
  <c r="H24" i="6"/>
  <c r="G27" i="14" s="1"/>
  <c r="H34" i="6"/>
  <c r="H25" i="6"/>
  <c r="H45" i="6"/>
  <c r="H33" i="6"/>
  <c r="H23" i="6"/>
  <c r="H22" i="6"/>
  <c r="H41" i="6"/>
  <c r="H8" i="6"/>
  <c r="H7" i="6"/>
  <c r="H36" i="6"/>
  <c r="H15" i="6"/>
  <c r="H44" i="6"/>
  <c r="G17" i="14" s="1"/>
  <c r="H32" i="6"/>
  <c r="H30" i="6"/>
  <c r="G31" i="14" s="1"/>
  <c r="H39" i="6"/>
  <c r="G16" i="14" s="1"/>
  <c r="K37" i="3"/>
  <c r="K40" i="3"/>
  <c r="K41" i="3"/>
  <c r="K42" i="3"/>
  <c r="K43" i="3"/>
  <c r="K44" i="3"/>
  <c r="K45" i="3"/>
  <c r="K46" i="3"/>
  <c r="K47" i="3"/>
  <c r="K48" i="3"/>
  <c r="K49" i="3"/>
  <c r="J37" i="3"/>
  <c r="E30" i="3"/>
  <c r="C7" i="16" s="1"/>
  <c r="E29" i="3"/>
  <c r="C5" i="14" s="1"/>
  <c r="E28" i="3"/>
  <c r="C17" i="9" s="1"/>
  <c r="E27" i="3"/>
  <c r="C16" i="9" s="1"/>
  <c r="E26" i="3"/>
  <c r="C26" i="9" s="1"/>
  <c r="E25" i="3"/>
  <c r="C9" i="14" s="1"/>
  <c r="E24" i="3"/>
  <c r="C15" i="9" s="1"/>
  <c r="D23" i="3"/>
  <c r="E23" i="3" s="1"/>
  <c r="E22" i="3"/>
  <c r="C13" i="9" s="1"/>
  <c r="E21" i="3"/>
  <c r="C4" i="14" s="1"/>
  <c r="E20" i="3"/>
  <c r="C12" i="9" s="1"/>
  <c r="E19" i="3"/>
  <c r="C11" i="9" s="1"/>
  <c r="E18" i="3"/>
  <c r="C10" i="9" s="1"/>
  <c r="E17" i="3"/>
  <c r="C9" i="9" s="1"/>
  <c r="E16" i="3"/>
  <c r="C8" i="9" s="1"/>
  <c r="E15" i="3"/>
  <c r="C7" i="9" s="1"/>
  <c r="E14" i="3"/>
  <c r="C8" i="14" s="1"/>
  <c r="E13" i="3"/>
  <c r="C6" i="9" s="1"/>
  <c r="C4" i="15"/>
  <c r="C6" i="15"/>
  <c r="C7" i="15" l="1"/>
  <c r="G9" i="9"/>
  <c r="G7" i="9"/>
  <c r="G17" i="9"/>
  <c r="G15" i="9"/>
  <c r="G11" i="9"/>
  <c r="E9" i="15"/>
  <c r="E10" i="15"/>
  <c r="C7" i="14"/>
  <c r="C6" i="16"/>
  <c r="C4" i="16"/>
  <c r="C6" i="14"/>
  <c r="C5" i="16"/>
  <c r="G12" i="6"/>
  <c r="H12" i="6" s="1"/>
  <c r="G7" i="15" s="1"/>
  <c r="G4" i="15"/>
  <c r="G23" i="3"/>
  <c r="H23" i="3" s="1"/>
  <c r="G5" i="16" s="1"/>
  <c r="G27" i="3"/>
  <c r="H27" i="3" s="1"/>
  <c r="G16" i="9" s="1"/>
  <c r="G16" i="3"/>
  <c r="H16" i="3" s="1"/>
  <c r="G8" i="9" s="1"/>
  <c r="G18" i="3"/>
  <c r="H18" i="3" s="1"/>
  <c r="G10" i="9" s="1"/>
  <c r="G30" i="3"/>
  <c r="H30" i="3" s="1"/>
  <c r="G6" i="14" s="1"/>
  <c r="G19" i="3"/>
  <c r="H19" i="3" s="1"/>
  <c r="G20" i="3"/>
  <c r="H20" i="3" s="1"/>
  <c r="G12" i="9" s="1"/>
  <c r="G21" i="3"/>
  <c r="H21" i="3" s="1"/>
  <c r="G4" i="14" s="1"/>
  <c r="G25" i="3"/>
  <c r="H25" i="3" s="1"/>
  <c r="G9" i="14" s="1"/>
  <c r="H7" i="3"/>
  <c r="G6" i="15" s="1"/>
  <c r="G22" i="3"/>
  <c r="H22" i="3" s="1"/>
  <c r="G13" i="9" s="1"/>
  <c r="G24" i="3"/>
  <c r="H24" i="3" s="1"/>
  <c r="G13" i="3"/>
  <c r="H13" i="3" s="1"/>
  <c r="G6" i="9" s="1"/>
  <c r="G14" i="3"/>
  <c r="H14" i="3" s="1"/>
  <c r="G8" i="14" s="1"/>
  <c r="G26" i="3"/>
  <c r="H26" i="3" s="1"/>
  <c r="G26" i="9" s="1"/>
  <c r="G15" i="3"/>
  <c r="H15" i="3" s="1"/>
  <c r="G28" i="3"/>
  <c r="H28" i="3" s="1"/>
  <c r="G17" i="3"/>
  <c r="H17" i="3" s="1"/>
  <c r="G29" i="3"/>
  <c r="H29" i="3" s="1"/>
  <c r="G5" i="14" s="1"/>
  <c r="D47" i="1"/>
  <c r="B55" i="3"/>
  <c r="D22" i="1"/>
  <c r="D31" i="1"/>
  <c r="D30" i="1"/>
  <c r="D29" i="1"/>
  <c r="D28" i="1"/>
  <c r="D27" i="1"/>
  <c r="D26" i="1"/>
  <c r="C59" i="6" l="1"/>
  <c r="F59" i="6" s="1"/>
  <c r="D9" i="6" s="1"/>
  <c r="D6" i="3"/>
  <c r="E6" i="3" s="1"/>
  <c r="G6" i="3" s="1"/>
  <c r="G7" i="14"/>
  <c r="G7" i="16"/>
  <c r="G4" i="16"/>
  <c r="G6" i="16"/>
  <c r="E42" i="3"/>
  <c r="E43" i="3"/>
  <c r="E40" i="3"/>
  <c r="E44" i="3"/>
  <c r="E46" i="3"/>
  <c r="E41" i="3"/>
  <c r="E45" i="3"/>
  <c r="E47" i="3"/>
  <c r="E48" i="3"/>
  <c r="E49" i="3"/>
  <c r="C56" i="6"/>
  <c r="F56" i="6" s="1"/>
  <c r="D6" i="6" s="1"/>
  <c r="E56" i="6"/>
  <c r="D56" i="6"/>
  <c r="C66" i="6"/>
  <c r="C81" i="6" s="1"/>
  <c r="D32" i="1"/>
  <c r="D21" i="1"/>
  <c r="D23" i="1"/>
  <c r="D24" i="1"/>
  <c r="D25" i="1"/>
  <c r="G45" i="3" l="1"/>
  <c r="H45" i="3" s="1"/>
  <c r="G13" i="14" s="1"/>
  <c r="C13" i="14"/>
  <c r="G44" i="3"/>
  <c r="H44" i="3" s="1"/>
  <c r="G28" i="14" s="1"/>
  <c r="C28" i="14"/>
  <c r="G41" i="3"/>
  <c r="H41" i="3" s="1"/>
  <c r="G26" i="14" s="1"/>
  <c r="C26" i="14"/>
  <c r="G46" i="3"/>
  <c r="H46" i="3" s="1"/>
  <c r="G29" i="14" s="1"/>
  <c r="C29" i="14"/>
  <c r="G40" i="3"/>
  <c r="H40" i="3" s="1"/>
  <c r="G25" i="14" s="1"/>
  <c r="C25" i="14"/>
  <c r="G42" i="3"/>
  <c r="H42" i="3" s="1"/>
  <c r="G11" i="14" s="1"/>
  <c r="C11" i="14"/>
  <c r="G43" i="3"/>
  <c r="H43" i="3" s="1"/>
  <c r="G12" i="14" s="1"/>
  <c r="C12" i="14"/>
  <c r="G49" i="3"/>
  <c r="H49" i="3" s="1"/>
  <c r="G15" i="14" s="1"/>
  <c r="C15" i="14"/>
  <c r="G48" i="3"/>
  <c r="H48" i="3" s="1"/>
  <c r="G30" i="14" s="1"/>
  <c r="C30" i="14"/>
  <c r="G47" i="3"/>
  <c r="H47" i="3" s="1"/>
  <c r="G14" i="14" s="1"/>
  <c r="C14" i="14"/>
  <c r="H6" i="3"/>
  <c r="E6" i="6"/>
  <c r="C5" i="15" s="1"/>
  <c r="E9" i="6"/>
  <c r="C8" i="15" s="1"/>
  <c r="C89" i="6"/>
  <c r="C79" i="6"/>
  <c r="G79" i="6" s="1"/>
  <c r="C88" i="6"/>
  <c r="C80" i="6"/>
  <c r="C90" i="6"/>
  <c r="G9" i="6" l="1"/>
  <c r="H9" i="6" s="1"/>
  <c r="G8" i="15" s="1"/>
  <c r="G6" i="6"/>
  <c r="H6" i="6" s="1"/>
  <c r="G5" i="15" s="1"/>
  <c r="D10" i="6"/>
  <c r="E10" i="6" s="1"/>
  <c r="C9" i="15" s="1"/>
  <c r="G88" i="6"/>
  <c r="D11" i="6" s="1"/>
  <c r="E11" i="6" s="1"/>
  <c r="C10" i="15" s="1"/>
  <c r="G11" i="6" l="1"/>
  <c r="H11" i="6" s="1"/>
  <c r="G10" i="15" s="1"/>
  <c r="G10" i="6"/>
  <c r="H10" i="6" s="1"/>
  <c r="G9" i="15" s="1"/>
</calcChain>
</file>

<file path=xl/sharedStrings.xml><?xml version="1.0" encoding="utf-8"?>
<sst xmlns="http://schemas.openxmlformats.org/spreadsheetml/2006/main" count="918" uniqueCount="306">
  <si>
    <t>Fuel Oil Usage</t>
  </si>
  <si>
    <t>Total Annual Consumption</t>
  </si>
  <si>
    <t>Fuel Heating Value</t>
  </si>
  <si>
    <t>Average Heating Value</t>
  </si>
  <si>
    <t>User-Defined (Site-Specific)</t>
  </si>
  <si>
    <t>Default</t>
  </si>
  <si>
    <t>HHV for calculations</t>
  </si>
  <si>
    <t>Fuel Sulphur Content</t>
  </si>
  <si>
    <t>Region</t>
  </si>
  <si>
    <t>National</t>
  </si>
  <si>
    <t>Fuel Type</t>
  </si>
  <si>
    <t>Ultra-Low Sulphur Diesel</t>
  </si>
  <si>
    <t>User-Defined (Site-Specific) Sulphur Content (%)</t>
  </si>
  <si>
    <t>Default Sulphur Content (%)</t>
  </si>
  <si>
    <t>Sulphur Content for Calculations</t>
  </si>
  <si>
    <t>Type of fuel</t>
  </si>
  <si>
    <t>Atlantic</t>
  </si>
  <si>
    <t>Quebec</t>
  </si>
  <si>
    <t>Ontario</t>
  </si>
  <si>
    <t>West</t>
  </si>
  <si>
    <t xml:space="preserve">Low-Sulphur Diesel Fuel </t>
  </si>
  <si>
    <t xml:space="preserve">Light Fuel Oil </t>
  </si>
  <si>
    <t>Type of Boiler/Heater</t>
  </si>
  <si>
    <t xml:space="preserve">Contaminant </t>
  </si>
  <si>
    <t>Uncontrolled Emission Factor</t>
  </si>
  <si>
    <t>kg/year</t>
  </si>
  <si>
    <t>Benzene</t>
  </si>
  <si>
    <t>71-43-2</t>
  </si>
  <si>
    <t>NA - 04</t>
  </si>
  <si>
    <t>Formaldehyde</t>
  </si>
  <si>
    <t>50-00-0</t>
  </si>
  <si>
    <t>Manganese (and its compounds)</t>
  </si>
  <si>
    <t>NA - 09</t>
  </si>
  <si>
    <t>Naphthalene</t>
  </si>
  <si>
    <t>91-20-3</t>
  </si>
  <si>
    <t>Nickel (and its compounds)</t>
  </si>
  <si>
    <t>NA - 11</t>
  </si>
  <si>
    <t>Arsenic (and its compounds)</t>
  </si>
  <si>
    <t>NA - 02</t>
  </si>
  <si>
    <t>Cadmium (and its compounds)</t>
  </si>
  <si>
    <t>NA - 03</t>
  </si>
  <si>
    <t>Lead (and its compounds, except Tetraethyl Lead)</t>
  </si>
  <si>
    <t>NA - 08</t>
  </si>
  <si>
    <t>Mercury (and its compounds)</t>
  </si>
  <si>
    <t>NA - 10</t>
  </si>
  <si>
    <t>Selenium (and its compounds)</t>
  </si>
  <si>
    <t>NA - 12</t>
  </si>
  <si>
    <t>NA - M09</t>
  </si>
  <si>
    <t>NA - M10</t>
  </si>
  <si>
    <t>NA - M16</t>
  </si>
  <si>
    <t>7446-09-5</t>
  </si>
  <si>
    <t>11104-93-1</t>
  </si>
  <si>
    <t>CO</t>
  </si>
  <si>
    <t>630-08-0</t>
  </si>
  <si>
    <t>TPM</t>
  </si>
  <si>
    <t>NA - M08</t>
  </si>
  <si>
    <t>Anthracene</t>
  </si>
  <si>
    <t>120-12-7</t>
  </si>
  <si>
    <t>56-55-3</t>
  </si>
  <si>
    <t>218-01-9</t>
  </si>
  <si>
    <t>205-99-2</t>
  </si>
  <si>
    <t>191-24-2</t>
  </si>
  <si>
    <t>207-08-9</t>
  </si>
  <si>
    <t>53-70-3</t>
  </si>
  <si>
    <t>Ethylbenzene</t>
  </si>
  <si>
    <t>100-41-4</t>
  </si>
  <si>
    <t>Fluoranthene</t>
  </si>
  <si>
    <t>206-44-0</t>
  </si>
  <si>
    <t>193-39-5</t>
  </si>
  <si>
    <t>Octachlorodibenzo-P-Dioxin (OCDD)</t>
  </si>
  <si>
    <t>3268-87-9</t>
  </si>
  <si>
    <t>Phenanthrene</t>
  </si>
  <si>
    <t>85-01-8</t>
  </si>
  <si>
    <t>Pyrene</t>
  </si>
  <si>
    <t>129-00-0</t>
  </si>
  <si>
    <t>Toluene</t>
  </si>
  <si>
    <t>108-88-3</t>
  </si>
  <si>
    <t>1330-20-7</t>
  </si>
  <si>
    <t>Contaminant - Metal</t>
  </si>
  <si>
    <t>Chromium (and its compounds, Except Chromium VI compounds)</t>
  </si>
  <si>
    <t>Copper (and its compounds)</t>
  </si>
  <si>
    <t>NA - 06</t>
  </si>
  <si>
    <t>Zinc (and its compounds)</t>
  </si>
  <si>
    <t>NA - 14</t>
  </si>
  <si>
    <t>NPRI PART</t>
  </si>
  <si>
    <t>PART 5</t>
  </si>
  <si>
    <t>1A</t>
  </si>
  <si>
    <t/>
  </si>
  <si>
    <t>NA - 01</t>
  </si>
  <si>
    <t>Antimony (and its compounds)</t>
  </si>
  <si>
    <t>NA - 22</t>
  </si>
  <si>
    <t>NA - 40</t>
  </si>
  <si>
    <t>Xylene (all isomers)</t>
  </si>
  <si>
    <t>1B</t>
  </si>
  <si>
    <t>NA - 05</t>
  </si>
  <si>
    <t>Cobalt (and its compounds)</t>
  </si>
  <si>
    <t>NA - 19</t>
  </si>
  <si>
    <t>83-32-9</t>
  </si>
  <si>
    <t>Acenaphthene</t>
  </si>
  <si>
    <t>208-96-8</t>
  </si>
  <si>
    <t>86-73-7</t>
  </si>
  <si>
    <t>Fluorene</t>
  </si>
  <si>
    <t>MASTER SHEET - Distillate Oil</t>
  </si>
  <si>
    <t>MASTER SHEET - Residual Oil</t>
  </si>
  <si>
    <t>NO.6 Oil</t>
  </si>
  <si>
    <t>NO.5 Oil</t>
  </si>
  <si>
    <t>NO.4 Oil</t>
  </si>
  <si>
    <t>Chromium (and its compounds, except Chromium VI Compounds)</t>
  </si>
  <si>
    <t>Lead (and its compounds, except tetraethyl lead)</t>
  </si>
  <si>
    <t>Phosphorus</t>
  </si>
  <si>
    <t>Residual Oil - Fuel Grade Factor - (A Factor)</t>
  </si>
  <si>
    <t>A Factor</t>
  </si>
  <si>
    <t xml:space="preserve">Heavy Fuel Oil </t>
  </si>
  <si>
    <t>Fuel Oil Selection</t>
  </si>
  <si>
    <t>Residual Oil Grade</t>
  </si>
  <si>
    <t>No.6 Oil</t>
  </si>
  <si>
    <t>Fuel Grade</t>
  </si>
  <si>
    <t>I</t>
  </si>
  <si>
    <t>C</t>
  </si>
  <si>
    <t>U</t>
  </si>
  <si>
    <t>I = Industrial Boiler/Heater</t>
  </si>
  <si>
    <t>C = Commercial, Institutional, Residential Boiler/Heater</t>
  </si>
  <si>
    <t>U = Utility Boiler</t>
  </si>
  <si>
    <t>Boiler Type</t>
  </si>
  <si>
    <t>User Inputs - For MATCH/INDEX</t>
  </si>
  <si>
    <t>Contaminant</t>
  </si>
  <si>
    <t xml:space="preserve"> Fuel Grade</t>
  </si>
  <si>
    <t>Boiler/Heater Type</t>
  </si>
  <si>
    <t>Reference: AP-42 Table 1.3-1</t>
  </si>
  <si>
    <t>Reference: AP-42 Table1.3-3</t>
  </si>
  <si>
    <t>Reference: AP-42 Table1.3-4</t>
  </si>
  <si>
    <t>Reference: AP-42 Table1.3-5</t>
  </si>
  <si>
    <t>Reference: AP-42 Table1.3-7</t>
  </si>
  <si>
    <t>Reference for speciated VOCs: AP-42 Table 1.3-9</t>
  </si>
  <si>
    <t>Reference: AP-42 Table 1.3-10</t>
  </si>
  <si>
    <t>Reference for Metals: AP-42 Table 1.3-11</t>
  </si>
  <si>
    <t>Sulphur Content % - Hidden</t>
  </si>
  <si>
    <t>Vanadium (and its compounds)</t>
  </si>
  <si>
    <t>NO2</t>
  </si>
  <si>
    <t>Low Excess Air (LEA)</t>
  </si>
  <si>
    <t>Staged Combustion (SC)</t>
  </si>
  <si>
    <t>Low NOx Burners (LNB)</t>
  </si>
  <si>
    <t>Selective Noncatalytic Reduction (SNCR)</t>
  </si>
  <si>
    <t>Flue Gas Recirculation (FGR)</t>
  </si>
  <si>
    <t>SO2</t>
  </si>
  <si>
    <t>Furnace Injection or Duct Injection</t>
  </si>
  <si>
    <t>Spray Drying</t>
  </si>
  <si>
    <t>Wet Scrubber (Dual Alkali)</t>
  </si>
  <si>
    <t>No Control</t>
  </si>
  <si>
    <t>Fuel Alteration - Water Emulsion</t>
  </si>
  <si>
    <t>Electrostatic Precipitator (ESP)</t>
  </si>
  <si>
    <t>Scrubber</t>
  </si>
  <si>
    <t>PM LIST</t>
  </si>
  <si>
    <t>D</t>
  </si>
  <si>
    <t>Eff% for Fuel Type</t>
  </si>
  <si>
    <t>R</t>
  </si>
  <si>
    <t>Technique</t>
  </si>
  <si>
    <t>Multiple Cyclone</t>
  </si>
  <si>
    <t>Control Efficiency Factors % - Hidden</t>
  </si>
  <si>
    <t>Wet Scrubber (Lime/Limestone;Sodium Carbonate;Magnesium Oxide/Hydroxide)</t>
  </si>
  <si>
    <t>Carbon Monoxide (CO) Control</t>
  </si>
  <si>
    <t>Particulate Matter Control</t>
  </si>
  <si>
    <t>Eff% for Type of Boiler</t>
  </si>
  <si>
    <t>Residual - MATCH/INDEX</t>
  </si>
  <si>
    <t>Uncontrolled Annual Emission</t>
  </si>
  <si>
    <t>Controlled Annual Emission</t>
  </si>
  <si>
    <t>Input Data</t>
  </si>
  <si>
    <r>
      <t>GJ/m</t>
    </r>
    <r>
      <rPr>
        <b/>
        <vertAlign val="superscript"/>
        <sz val="10"/>
        <rFont val="Arial   "/>
      </rPr>
      <t>3</t>
    </r>
  </si>
  <si>
    <r>
      <t>NO</t>
    </r>
    <r>
      <rPr>
        <b/>
        <i/>
        <vertAlign val="subscript"/>
        <sz val="10"/>
        <color theme="1"/>
        <rFont val="Arial   "/>
      </rPr>
      <t>X</t>
    </r>
    <r>
      <rPr>
        <b/>
        <i/>
        <sz val="10"/>
        <color theme="1"/>
        <rFont val="Arial   "/>
      </rPr>
      <t xml:space="preserve"> Control</t>
    </r>
  </si>
  <si>
    <r>
      <t>SO</t>
    </r>
    <r>
      <rPr>
        <b/>
        <i/>
        <vertAlign val="subscript"/>
        <sz val="10"/>
        <color theme="1"/>
        <rFont val="Arial   "/>
      </rPr>
      <t>2</t>
    </r>
    <r>
      <rPr>
        <b/>
        <i/>
        <sz val="10"/>
        <color theme="1"/>
        <rFont val="Arial   "/>
      </rPr>
      <t xml:space="preserve"> Control</t>
    </r>
  </si>
  <si>
    <t>Section 1</t>
  </si>
  <si>
    <t>Section 2</t>
  </si>
  <si>
    <t>Select the type of fuel oil for your Boiler/Heater.</t>
  </si>
  <si>
    <t xml:space="preserve">For Residual Fuel Oil burners, select the fuel grade. </t>
  </si>
  <si>
    <t>Month</t>
  </si>
  <si>
    <t>January</t>
  </si>
  <si>
    <t>February</t>
  </si>
  <si>
    <t>March</t>
  </si>
  <si>
    <t xml:space="preserve">April </t>
  </si>
  <si>
    <t xml:space="preserve">May </t>
  </si>
  <si>
    <t>June</t>
  </si>
  <si>
    <t>July</t>
  </si>
  <si>
    <t>August</t>
  </si>
  <si>
    <t>October</t>
  </si>
  <si>
    <t>November</t>
  </si>
  <si>
    <t>December</t>
  </si>
  <si>
    <t>Emission Control Device (Site-Specific) Control Efficiency (%)</t>
  </si>
  <si>
    <t>Section 4</t>
  </si>
  <si>
    <t>Section 5</t>
  </si>
  <si>
    <t>Emission Control Devices</t>
  </si>
  <si>
    <t xml:space="preserve">Select the type of your boiler or heater at the facility. </t>
  </si>
  <si>
    <t xml:space="preserve">If the Boiler/Heater is equipped with an emission control device, select the technology or enter the control efficiency for the device. </t>
  </si>
  <si>
    <t>Fuel Oil Combustion - Boilers and Heaters</t>
  </si>
  <si>
    <t>Purpose</t>
  </si>
  <si>
    <t>How to Use the Estimation Tool</t>
  </si>
  <si>
    <t>Sources of Information</t>
  </si>
  <si>
    <t>Additional Information</t>
  </si>
  <si>
    <t xml:space="preserve">Since the NPRI reporting thresholds are for the facility as a whole the air releases calculated in this spreadsheet must be added to the NPRI releases from other sources (air releases) and activities at the facility.  </t>
  </si>
  <si>
    <t>Part 1A Substance Releases</t>
  </si>
  <si>
    <t>Substance Name</t>
  </si>
  <si>
    <t>CAS Number</t>
  </si>
  <si>
    <t>EF Rating</t>
  </si>
  <si>
    <t>Activity Rate from Input Tab</t>
  </si>
  <si>
    <t>Units</t>
  </si>
  <si>
    <t>Part 4 Criteria Air Contaminants (CAC) Releases</t>
  </si>
  <si>
    <t>Part 5 Selected Volatile Organic Compounds Releases</t>
  </si>
  <si>
    <t>Part 2 Substance Releases</t>
  </si>
  <si>
    <t>Activity Rate from input tab</t>
  </si>
  <si>
    <t>kg</t>
  </si>
  <si>
    <t>Part 3 Substance Releases</t>
  </si>
  <si>
    <t>Total Release</t>
  </si>
  <si>
    <t>Octachlorodibenzo-p-dioxin (OCDD)</t>
  </si>
  <si>
    <t xml:space="preserve">% of Annual </t>
  </si>
  <si>
    <r>
      <t>Enter the monthly fuel oil consumption in cubic metres (m</t>
    </r>
    <r>
      <rPr>
        <vertAlign val="superscript"/>
        <sz val="10"/>
        <rFont val="Arial   "/>
      </rPr>
      <t>3</t>
    </r>
    <r>
      <rPr>
        <sz val="10"/>
        <rFont val="Arial   "/>
      </rPr>
      <t xml:space="preserve">). To convert litres to cubic metres (m³), divide by 1000. </t>
    </r>
  </si>
  <si>
    <t>m³</t>
  </si>
  <si>
    <t>Section 1-A</t>
  </si>
  <si>
    <t>Emission Factor Rating</t>
  </si>
  <si>
    <t>Part 1B Substance Releases</t>
  </si>
  <si>
    <t>A</t>
  </si>
  <si>
    <t>E</t>
  </si>
  <si>
    <t>B</t>
  </si>
  <si>
    <t>TPM - EF rating</t>
  </si>
  <si>
    <r>
      <t>kg/m</t>
    </r>
    <r>
      <rPr>
        <vertAlign val="superscript"/>
        <sz val="10"/>
        <color theme="1"/>
        <rFont val="Arial"/>
        <family val="2"/>
      </rPr>
      <t>3</t>
    </r>
  </si>
  <si>
    <r>
      <t>kg/m</t>
    </r>
    <r>
      <rPr>
        <vertAlign val="superscript"/>
        <sz val="10"/>
        <color theme="1"/>
        <rFont val="Arial"/>
        <family val="2"/>
      </rPr>
      <t>3</t>
    </r>
    <r>
      <rPr>
        <sz val="11"/>
        <color theme="1"/>
        <rFont val="Calibri"/>
        <family val="2"/>
        <scheme val="minor"/>
      </rPr>
      <t/>
    </r>
  </si>
  <si>
    <t>tonnes</t>
  </si>
  <si>
    <t>kilograms</t>
  </si>
  <si>
    <t>Xylenes (all isomers)</t>
  </si>
  <si>
    <t>Total Particulate Matter (TPM)</t>
  </si>
  <si>
    <t>Carbon Monoxide (CO)</t>
  </si>
  <si>
    <r>
      <t>kg/m</t>
    </r>
    <r>
      <rPr>
        <vertAlign val="superscript"/>
        <sz val="10"/>
        <color theme="1"/>
        <rFont val="Arial "/>
      </rPr>
      <t>3</t>
    </r>
    <r>
      <rPr>
        <sz val="11"/>
        <color theme="1"/>
        <rFont val="Calibri"/>
        <family val="2"/>
        <scheme val="minor"/>
      </rPr>
      <t/>
    </r>
  </si>
  <si>
    <r>
      <t>kg/m</t>
    </r>
    <r>
      <rPr>
        <vertAlign val="superscript"/>
        <sz val="10"/>
        <color theme="1"/>
        <rFont val="Arial "/>
      </rPr>
      <t>3</t>
    </r>
  </si>
  <si>
    <t xml:space="preserve">To convert BTU/gal to GJ/m³, divide by 3588. </t>
  </si>
  <si>
    <t>Section 3</t>
  </si>
  <si>
    <t>EF</t>
  </si>
  <si>
    <t xml:space="preserve">Reference: AP-42 Table 1.3-7 for Commercial </t>
  </si>
  <si>
    <t>Rating</t>
  </si>
  <si>
    <t>Flue Gas Recirculation plus Staged Combustion</t>
  </si>
  <si>
    <r>
      <t>Sulphur Dioxide (SO</t>
    </r>
    <r>
      <rPr>
        <vertAlign val="subscript"/>
        <sz val="10"/>
        <color theme="1"/>
        <rFont val="Arial "/>
      </rPr>
      <t>2</t>
    </r>
    <r>
      <rPr>
        <sz val="10"/>
        <color theme="1"/>
        <rFont val="Arial "/>
      </rPr>
      <t>)</t>
    </r>
  </si>
  <si>
    <r>
      <t>Oxides of Nitrogen, expressed as NO</t>
    </r>
    <r>
      <rPr>
        <vertAlign val="subscript"/>
        <sz val="10"/>
        <color theme="1"/>
        <rFont val="Arial "/>
      </rPr>
      <t>2</t>
    </r>
    <r>
      <rPr>
        <sz val="10"/>
        <color theme="1"/>
        <rFont val="Arial "/>
      </rPr>
      <t xml:space="preserve"> (NO</t>
    </r>
    <r>
      <rPr>
        <vertAlign val="subscript"/>
        <sz val="10"/>
        <color theme="1"/>
        <rFont val="Arial "/>
      </rPr>
      <t>X</t>
    </r>
    <r>
      <rPr>
        <sz val="10"/>
        <color theme="1"/>
        <rFont val="Arial "/>
      </rPr>
      <t>)</t>
    </r>
  </si>
  <si>
    <r>
      <t>Particulate Matter less than or equal to 10 µm (PM</t>
    </r>
    <r>
      <rPr>
        <vertAlign val="subscript"/>
        <sz val="10"/>
        <rFont val="Arial "/>
      </rPr>
      <t>10</t>
    </r>
    <r>
      <rPr>
        <sz val="10"/>
        <rFont val="Arial "/>
      </rPr>
      <t>)</t>
    </r>
  </si>
  <si>
    <r>
      <t>Particulate Matter less than or equal to 2.5 µm (PM</t>
    </r>
    <r>
      <rPr>
        <vertAlign val="subscript"/>
        <sz val="10"/>
        <rFont val="Arial "/>
      </rPr>
      <t>2.5</t>
    </r>
    <r>
      <rPr>
        <sz val="10"/>
        <rFont val="Arial "/>
      </rPr>
      <t>)</t>
    </r>
  </si>
  <si>
    <t>Once you have entered all the required values you can view the generated release estimates, which will appear in bold font by selecting one of the following four tabs: "Part 1 Releases", "Part 2 and 3 Releases", "Part 4 Releases", and "Part 5 Releases". Part 1 releases include the core NPRI substances with a 10-tonne manufacture, process or otherwise use threshold, along with other selected metal compounds with variable thresholds ranging from 5-kg to 1000-kg. Part 2 and 3 releases include PAHs and dioxins and furans, respectively. This Calculator does not estimate the speciated PAHs, as well as any Part 3 releases. The Part 2 substances have an incidentally manufactured reporting threshold and Part 3 substances have an activity based reporting threshold. Part 4 releases include the seven Criteria Air Contaminants which have release-based thresholds. Part 5 releases include the selected VOCs with additional reporting requirements, also referred to as "speciated VOC's".</t>
  </si>
  <si>
    <t>Part 1,2,3,4,5 Substance emissions factors are from the US EPA WebFIRE (version May 2010) database and AP-42 Chapter 1.3 Fuel Oil Combustion.</t>
  </si>
  <si>
    <t xml:space="preserve">The spreadsheet has been populated with default emission factors,  however if you have a site specific emission factor you would prefer to use a template has been provided in the "Site-Specific Emission Factor" tab for this calculation. If you choose to insert your own emission factor ensure that the units have been converted accordingly, and that you consider only the emissions calculated in the "Site Specific Tab" for that contaminant.  </t>
  </si>
  <si>
    <r>
      <t>The emission factors used in this spreadsheet are based on uncontrolled emissions. Section 5 of the "Input Information" tab provides the opportunity to adjust the emissions for any, or all, contaminants to reflect emission control devices at the facility. This can be done by selecting a default published control efficiency provided or by entering a site-specific control efficiency. For Particulate Matter, it is assumed that the control efficiency is the same for Total Particulate Matter (TPM), Particulate Matter less than or equal to 10 µm (PM</t>
    </r>
    <r>
      <rPr>
        <vertAlign val="subscript"/>
        <sz val="10"/>
        <rFont val="Arial"/>
        <family val="2"/>
      </rPr>
      <t>10</t>
    </r>
    <r>
      <rPr>
        <sz val="10"/>
        <rFont val="Arial"/>
        <family val="2"/>
      </rPr>
      <t>), and Particulate Matter less than or equal to 2.5 µm (PM</t>
    </r>
    <r>
      <rPr>
        <vertAlign val="subscript"/>
        <sz val="10"/>
        <rFont val="Arial"/>
        <family val="2"/>
      </rPr>
      <t>2.5</t>
    </r>
    <r>
      <rPr>
        <sz val="10"/>
        <rFont val="Arial"/>
        <family val="2"/>
      </rPr>
      <t xml:space="preserve">). </t>
    </r>
  </si>
  <si>
    <t>By selecting the "Input Information" tab in this workbook you may enter all of the relevant data required to perform the release estimates calculated in the following four tabs. 
Cells highlighted in yellow are required values for the Estimation Tool. Some yellow cells have a dropdown menu to allow selection of the appropriate region, fuel type, or emission control device(s), and default values have been provided for some required values should site-specific values not be available.</t>
  </si>
  <si>
    <t>The default control efficiencies are based on the data published in US EPA AP-42 Chapter 1.3.</t>
  </si>
  <si>
    <r>
      <t>This calculator is designed to estimate emissions from all types of boilers and heaters that use fuel oil as their source of combustion. The NO</t>
    </r>
    <r>
      <rPr>
        <vertAlign val="subscript"/>
        <sz val="10"/>
        <color theme="1"/>
        <rFont val="Arial"/>
        <family val="2"/>
      </rPr>
      <t>X</t>
    </r>
    <r>
      <rPr>
        <sz val="10"/>
        <color theme="1"/>
        <rFont val="Arial"/>
        <family val="2"/>
      </rPr>
      <t xml:space="preserve"> emissions, however, are presented for smaller boilers (less than 100 MMBtu/h) heat inputs. If your facility operates boilers/heaters with heat inputs greater than 100 MMBtu/h, the NO</t>
    </r>
    <r>
      <rPr>
        <vertAlign val="subscript"/>
        <sz val="10"/>
        <color theme="1"/>
        <rFont val="Arial"/>
        <family val="2"/>
      </rPr>
      <t>X</t>
    </r>
    <r>
      <rPr>
        <sz val="10"/>
        <color theme="1"/>
        <rFont val="Arial"/>
        <family val="2"/>
      </rPr>
      <t xml:space="preserve"> emission factors for "Boilers &gt;100 Million Btu/hr" published in USEPA AP-42 section 1.3, Table 1.3-1, must be used rather than the emission factors provided in this calculator. </t>
    </r>
  </si>
  <si>
    <t>To maintain consistency with the NPRI reporting software, this workbook generates values to three decimal places.</t>
  </si>
  <si>
    <t xml:space="preserve">The "RESIDUAL MASTER SHEET" and "DISTILLATE MASTER SHEET" tab show the details of the calculations such as the uncontrolled and controlled emissions, and the category of the NPRI reporting. The values in this sheet are locked and cannot be revised by the user. </t>
  </si>
  <si>
    <r>
      <t>lb/10</t>
    </r>
    <r>
      <rPr>
        <vertAlign val="superscript"/>
        <sz val="11"/>
        <color theme="1"/>
        <rFont val="Arial"/>
        <family val="2"/>
      </rPr>
      <t>3</t>
    </r>
    <r>
      <rPr>
        <sz val="11"/>
        <color theme="1"/>
        <rFont val="Arial"/>
        <family val="2"/>
      </rPr>
      <t xml:space="preserve"> US gal</t>
    </r>
  </si>
  <si>
    <r>
      <t>kg/m</t>
    </r>
    <r>
      <rPr>
        <vertAlign val="superscript"/>
        <sz val="11"/>
        <color theme="1"/>
        <rFont val="Arial"/>
        <family val="2"/>
      </rPr>
      <t>3</t>
    </r>
  </si>
  <si>
    <r>
      <t>Sulphur Dioxide (SO</t>
    </r>
    <r>
      <rPr>
        <vertAlign val="subscript"/>
        <sz val="11"/>
        <color theme="1"/>
        <rFont val="Arial"/>
        <family val="2"/>
      </rPr>
      <t>2</t>
    </r>
    <r>
      <rPr>
        <sz val="11"/>
        <color theme="1"/>
        <rFont val="Arial"/>
        <family val="2"/>
      </rPr>
      <t>)</t>
    </r>
  </si>
  <si>
    <r>
      <t>Oxides of Nitrogen, expressed as NO</t>
    </r>
    <r>
      <rPr>
        <vertAlign val="subscript"/>
        <sz val="11"/>
        <color theme="1"/>
        <rFont val="Arial"/>
        <family val="2"/>
      </rPr>
      <t>2</t>
    </r>
    <r>
      <rPr>
        <sz val="11"/>
        <color theme="1"/>
        <rFont val="Arial"/>
        <family val="2"/>
      </rPr>
      <t xml:space="preserve"> (NO</t>
    </r>
    <r>
      <rPr>
        <vertAlign val="subscript"/>
        <sz val="11"/>
        <color theme="1"/>
        <rFont val="Arial"/>
        <family val="2"/>
      </rPr>
      <t>X</t>
    </r>
    <r>
      <rPr>
        <sz val="11"/>
        <color theme="1"/>
        <rFont val="Arial"/>
        <family val="2"/>
      </rPr>
      <t>)</t>
    </r>
  </si>
  <si>
    <r>
      <t>Particulate Matter less than or equal to 10 µm (PM</t>
    </r>
    <r>
      <rPr>
        <vertAlign val="subscript"/>
        <sz val="11"/>
        <rFont val="Arial"/>
        <family val="2"/>
      </rPr>
      <t>10</t>
    </r>
    <r>
      <rPr>
        <sz val="11"/>
        <rFont val="Arial"/>
        <family val="2"/>
      </rPr>
      <t>)</t>
    </r>
  </si>
  <si>
    <r>
      <t>Particulate Matter less than or equal to 2.5 µm (PM</t>
    </r>
    <r>
      <rPr>
        <vertAlign val="subscript"/>
        <sz val="11"/>
        <rFont val="Arial"/>
        <family val="2"/>
      </rPr>
      <t>2.5</t>
    </r>
    <r>
      <rPr>
        <sz val="11"/>
        <rFont val="Arial"/>
        <family val="2"/>
      </rPr>
      <t>)</t>
    </r>
  </si>
  <si>
    <r>
      <t>General Emission Factor - Residual (lb/10</t>
    </r>
    <r>
      <rPr>
        <vertAlign val="superscript"/>
        <sz val="11"/>
        <color theme="0"/>
        <rFont val="Arial"/>
        <family val="2"/>
      </rPr>
      <t>3</t>
    </r>
    <r>
      <rPr>
        <sz val="11"/>
        <color theme="0"/>
        <rFont val="Arial"/>
        <family val="2"/>
      </rPr>
      <t xml:space="preserve"> US gal)</t>
    </r>
  </si>
  <si>
    <r>
      <t>SO</t>
    </r>
    <r>
      <rPr>
        <vertAlign val="subscript"/>
        <sz val="11"/>
        <color theme="1"/>
        <rFont val="Arial"/>
        <family val="2"/>
      </rPr>
      <t>2</t>
    </r>
  </si>
  <si>
    <r>
      <t>NO</t>
    </r>
    <r>
      <rPr>
        <vertAlign val="subscript"/>
        <sz val="11"/>
        <color theme="1"/>
        <rFont val="Arial"/>
        <family val="2"/>
      </rPr>
      <t>X</t>
    </r>
  </si>
  <si>
    <r>
      <t>Matrix of Type of Boiler, Grade and Emission Factor (PM</t>
    </r>
    <r>
      <rPr>
        <vertAlign val="subscript"/>
        <sz val="11"/>
        <color theme="1"/>
        <rFont val="Arial"/>
        <family val="2"/>
      </rPr>
      <t>10</t>
    </r>
    <r>
      <rPr>
        <sz val="11"/>
        <color theme="1"/>
        <rFont val="Arial"/>
        <family val="2"/>
      </rPr>
      <t>, PM</t>
    </r>
    <r>
      <rPr>
        <vertAlign val="subscript"/>
        <sz val="11"/>
        <color theme="1"/>
        <rFont val="Arial"/>
        <family val="2"/>
      </rPr>
      <t>2.5</t>
    </r>
    <r>
      <rPr>
        <sz val="11"/>
        <color theme="1"/>
        <rFont val="Arial"/>
        <family val="2"/>
      </rPr>
      <t>, VOCs)</t>
    </r>
  </si>
  <si>
    <r>
      <t>PM</t>
    </r>
    <r>
      <rPr>
        <b/>
        <vertAlign val="subscript"/>
        <sz val="11"/>
        <color theme="0"/>
        <rFont val="Arial"/>
        <family val="2"/>
      </rPr>
      <t>10</t>
    </r>
    <r>
      <rPr>
        <b/>
        <sz val="11"/>
        <color theme="0"/>
        <rFont val="Arial"/>
        <family val="2"/>
      </rPr>
      <t xml:space="preserve"> Emission Factor  (lb/10</t>
    </r>
    <r>
      <rPr>
        <b/>
        <vertAlign val="superscript"/>
        <sz val="11"/>
        <color theme="0"/>
        <rFont val="Arial"/>
        <family val="2"/>
      </rPr>
      <t>3</t>
    </r>
    <r>
      <rPr>
        <b/>
        <sz val="11"/>
        <color theme="0"/>
        <rFont val="Arial"/>
        <family val="2"/>
      </rPr>
      <t xml:space="preserve"> US gal)</t>
    </r>
  </si>
  <si>
    <r>
      <t>PM</t>
    </r>
    <r>
      <rPr>
        <b/>
        <vertAlign val="subscript"/>
        <sz val="11"/>
        <color theme="0"/>
        <rFont val="Arial"/>
        <family val="2"/>
      </rPr>
      <t>2.5</t>
    </r>
    <r>
      <rPr>
        <b/>
        <sz val="11"/>
        <color theme="0"/>
        <rFont val="Arial"/>
        <family val="2"/>
      </rPr>
      <t xml:space="preserve"> Emission Factor  (lb/10</t>
    </r>
    <r>
      <rPr>
        <b/>
        <vertAlign val="superscript"/>
        <sz val="11"/>
        <color theme="0"/>
        <rFont val="Arial"/>
        <family val="2"/>
      </rPr>
      <t>3</t>
    </r>
    <r>
      <rPr>
        <b/>
        <sz val="11"/>
        <color theme="0"/>
        <rFont val="Arial"/>
        <family val="2"/>
      </rPr>
      <t xml:space="preserve"> US gal)</t>
    </r>
  </si>
  <si>
    <r>
      <t>VOCs Emission Factor  (lb/10</t>
    </r>
    <r>
      <rPr>
        <b/>
        <vertAlign val="superscript"/>
        <sz val="11"/>
        <color theme="0"/>
        <rFont val="Arial"/>
        <family val="2"/>
      </rPr>
      <t>3</t>
    </r>
    <r>
      <rPr>
        <b/>
        <sz val="11"/>
        <color theme="0"/>
        <rFont val="Arial"/>
        <family val="2"/>
      </rPr>
      <t xml:space="preserve"> US gal)</t>
    </r>
  </si>
  <si>
    <r>
      <t>Reference for SO</t>
    </r>
    <r>
      <rPr>
        <vertAlign val="subscript"/>
        <sz val="11"/>
        <rFont val="Arial"/>
        <family val="2"/>
      </rPr>
      <t>2</t>
    </r>
    <r>
      <rPr>
        <sz val="11"/>
        <rFont val="Arial"/>
        <family val="2"/>
      </rPr>
      <t>, CO, NO</t>
    </r>
    <r>
      <rPr>
        <vertAlign val="subscript"/>
        <sz val="11"/>
        <rFont val="Arial"/>
        <family val="2"/>
      </rPr>
      <t>X</t>
    </r>
    <r>
      <rPr>
        <sz val="11"/>
        <rFont val="Arial"/>
        <family val="2"/>
      </rPr>
      <t>, TPM: AP-42 Table 1.3-1</t>
    </r>
  </si>
  <si>
    <r>
      <t>lb/10</t>
    </r>
    <r>
      <rPr>
        <vertAlign val="superscript"/>
        <sz val="11"/>
        <color theme="1"/>
        <rFont val="Arial"/>
        <family val="2"/>
      </rPr>
      <t>12</t>
    </r>
    <r>
      <rPr>
        <sz val="11"/>
        <color theme="1"/>
        <rFont val="Arial"/>
        <family val="2"/>
      </rPr>
      <t xml:space="preserve"> BTU</t>
    </r>
  </si>
  <si>
    <r>
      <t>GJ/m</t>
    </r>
    <r>
      <rPr>
        <vertAlign val="superscript"/>
        <sz val="11"/>
        <color theme="1"/>
        <rFont val="Arial"/>
        <family val="2"/>
      </rPr>
      <t>3</t>
    </r>
  </si>
  <si>
    <r>
      <t>Matrix of Type of Boiler Type and Emission Factor (PM</t>
    </r>
    <r>
      <rPr>
        <vertAlign val="subscript"/>
        <sz val="11"/>
        <color theme="1"/>
        <rFont val="Arial"/>
        <family val="2"/>
      </rPr>
      <t>10</t>
    </r>
    <r>
      <rPr>
        <sz val="11"/>
        <color theme="1"/>
        <rFont val="Arial"/>
        <family val="2"/>
      </rPr>
      <t>, PM</t>
    </r>
    <r>
      <rPr>
        <vertAlign val="subscript"/>
        <sz val="11"/>
        <color theme="1"/>
        <rFont val="Arial"/>
        <family val="2"/>
      </rPr>
      <t>2.5</t>
    </r>
    <r>
      <rPr>
        <sz val="11"/>
        <color theme="1"/>
        <rFont val="Arial"/>
        <family val="2"/>
      </rPr>
      <t>, VOCs)</t>
    </r>
  </si>
  <si>
    <r>
      <t>PM</t>
    </r>
    <r>
      <rPr>
        <b/>
        <vertAlign val="subscript"/>
        <sz val="11"/>
        <color theme="0"/>
        <rFont val="Arial"/>
        <family val="2"/>
      </rPr>
      <t>10</t>
    </r>
    <r>
      <rPr>
        <b/>
        <sz val="11"/>
        <color theme="0"/>
        <rFont val="Arial"/>
        <family val="2"/>
      </rPr>
      <t xml:space="preserve"> Emission Factor (lb/10</t>
    </r>
    <r>
      <rPr>
        <b/>
        <vertAlign val="superscript"/>
        <sz val="11"/>
        <color theme="0"/>
        <rFont val="Arial"/>
        <family val="2"/>
      </rPr>
      <t>3</t>
    </r>
    <r>
      <rPr>
        <b/>
        <sz val="11"/>
        <color theme="0"/>
        <rFont val="Arial"/>
        <family val="2"/>
      </rPr>
      <t xml:space="preserve"> US gal)</t>
    </r>
  </si>
  <si>
    <r>
      <t>PM</t>
    </r>
    <r>
      <rPr>
        <b/>
        <vertAlign val="subscript"/>
        <sz val="11"/>
        <color theme="0"/>
        <rFont val="Arial"/>
        <family val="2"/>
      </rPr>
      <t>2.5</t>
    </r>
    <r>
      <rPr>
        <b/>
        <sz val="11"/>
        <color theme="0"/>
        <rFont val="Arial"/>
        <family val="2"/>
      </rPr>
      <t xml:space="preserve"> Emission Factor (lb/103 US gal)</t>
    </r>
  </si>
  <si>
    <r>
      <t>VOCs Emission Factor (lb/10</t>
    </r>
    <r>
      <rPr>
        <b/>
        <vertAlign val="superscript"/>
        <sz val="11"/>
        <color theme="0"/>
        <rFont val="Arial"/>
        <family val="2"/>
      </rPr>
      <t>3</t>
    </r>
    <r>
      <rPr>
        <b/>
        <sz val="11"/>
        <color theme="0"/>
        <rFont val="Arial"/>
        <family val="2"/>
      </rPr>
      <t xml:space="preserve"> US gal)</t>
    </r>
  </si>
  <si>
    <t>NPRI Substance Releases based on Site-Specific Emission Factors</t>
  </si>
  <si>
    <t>Activity Rate Unit</t>
  </si>
  <si>
    <t>This spreadsheet was designed to assist with estimating the releases of NPRI substances from the combustion of fuel oil in boilers and heaters. All NPRI substances, where emission factors are available, are considered in this activity. 
The calculator is not applicable if you use waste oil at your facility.</t>
  </si>
  <si>
    <t>Acenaphthylene</t>
  </si>
  <si>
    <t>Distillate</t>
  </si>
  <si>
    <t xml:space="preserve">The spreadsheet uses a default Heating Value of 39.0 for Fuel Oil. This value may be changed if a site specific value is available. </t>
  </si>
  <si>
    <t>September</t>
  </si>
  <si>
    <t xml:space="preserve">Sulphur content is in percentage by weight. For 1%, enter “1”.  
If sulphur content is unavailable, select a region and fuel type to use default sulphur content.  </t>
  </si>
  <si>
    <t>Emission Factor (EF)</t>
  </si>
  <si>
    <t>EF Units</t>
  </si>
  <si>
    <t xml:space="preserve">For the description of the EF ratings, refer to the NPRI website under NPRI Toolbox. </t>
  </si>
  <si>
    <t>NPRI  Part</t>
  </si>
  <si>
    <t>(If you choose to insert your own emission factor ensure that the units have been converted accordingly.)</t>
  </si>
  <si>
    <t>Emission Factor 
for Master Table</t>
  </si>
  <si>
    <t>HHV - from Input</t>
  </si>
  <si>
    <t>Reference: AP-42 Table 1.3-6 for Industrial</t>
  </si>
  <si>
    <t xml:space="preserve">The same value was considered for utility and industrial boilers that use distillate fuel oil.  </t>
  </si>
  <si>
    <t xml:space="preserve">If the facility has Continuous Emissions Monitoring System (CEMS) installed on the boiler/heater exhaust, a manufacturer's guarantee on air contaminant emissions, or other site-specific emissions data, this data should be preferentially used for NPRI reporting. </t>
  </si>
  <si>
    <t>Industrial</t>
  </si>
  <si>
    <t xml:space="preserve">If you know the sulphur content of the fuel, use the site-specific value. In the absence of site-specific data, sulphur content data can be extracted from:   </t>
  </si>
  <si>
    <t>Data collected under the Fuels Information Regulations, No. 1 - Open Government Portal (canada.ca)</t>
  </si>
  <si>
    <t>Average Sulphur Content (%): 2003-2016</t>
  </si>
  <si>
    <t>Volatile organic compounds (total) (VOCs)</t>
  </si>
  <si>
    <t>Hexavalent Chromium (and its compounds)</t>
  </si>
  <si>
    <t>CAS Number*</t>
  </si>
  <si>
    <t>* CAS RN or NPRI substance identifier</t>
  </si>
  <si>
    <t>Emission factor ratings have been provided for each emission factor in the column following the emission factor units.  For more information on what these ratings mean, refer to the FAQs in the AP-42 document: https://www.epa.gov/air-emissions-factors-and-quantification/ap-42-frequent-questions#ratings</t>
  </si>
  <si>
    <t>Chrysene</t>
  </si>
  <si>
    <t>Benzo[ghi]perylene</t>
  </si>
  <si>
    <t>Benzo[k]fluoranthene</t>
  </si>
  <si>
    <t>Benzo[b]fluoranthene</t>
  </si>
  <si>
    <t>Dibenz[a,h]anthracene</t>
  </si>
  <si>
    <t>Inden[1,2,3-cd]pyrene</t>
  </si>
  <si>
    <t>Benzo[a]Phenanthrene (chrysene)</t>
  </si>
  <si>
    <t>Benzo[a]anthracene</t>
  </si>
  <si>
    <t>Benzo[a]Phenanthrene (Chrysene)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</si>
</sst>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E+00"/>
    <numFmt numFmtId="168" formatCode="0.00000"/>
  </numFmts>
  <fonts count="47">
    <font>
      <sz val="11"/>
      <color theme="1"/>
      <name val="Calibri"/>
      <family val="2"/>
      <scheme val="minor"/>
    </font>
    <font>
      <sz val="11"/>
      <color theme="1"/>
      <name val="Calibri"/>
      <family val="2"/>
      <scheme val="minor"/>
    </font>
    <font>
      <sz val="10"/>
      <name val="Arial"/>
      <family val="2"/>
    </font>
    <font>
      <sz val="12"/>
      <color theme="1"/>
      <name val="Arial"/>
      <family val="2"/>
    </font>
    <font>
      <sz val="10"/>
      <color indexed="8"/>
      <name val="Arial"/>
      <family val="2"/>
    </font>
    <font>
      <sz val="10"/>
      <color theme="1"/>
      <name val="Arial   "/>
    </font>
    <font>
      <sz val="10"/>
      <color theme="0"/>
      <name val="Arial   "/>
    </font>
    <font>
      <b/>
      <sz val="10"/>
      <color theme="1"/>
      <name val="Arial   "/>
    </font>
    <font>
      <sz val="10"/>
      <name val="Arial   "/>
    </font>
    <font>
      <b/>
      <sz val="10"/>
      <name val="Arial   "/>
    </font>
    <font>
      <vertAlign val="superscript"/>
      <sz val="10"/>
      <name val="Arial   "/>
    </font>
    <font>
      <b/>
      <vertAlign val="superscript"/>
      <sz val="10"/>
      <name val="Arial   "/>
    </font>
    <font>
      <b/>
      <i/>
      <sz val="10"/>
      <color theme="1"/>
      <name val="Arial   "/>
    </font>
    <font>
      <b/>
      <i/>
      <vertAlign val="subscript"/>
      <sz val="10"/>
      <color theme="1"/>
      <name val="Arial   "/>
    </font>
    <font>
      <b/>
      <u/>
      <sz val="10"/>
      <color theme="1"/>
      <name val="Arial   "/>
    </font>
    <font>
      <sz val="10"/>
      <name val="Arial"/>
      <family val="2"/>
    </font>
    <font>
      <b/>
      <sz val="10"/>
      <name val="Arial"/>
      <family val="2"/>
    </font>
    <font>
      <b/>
      <u/>
      <sz val="10"/>
      <name val="Arial"/>
      <family val="2"/>
    </font>
    <font>
      <b/>
      <sz val="10"/>
      <color indexed="10"/>
      <name val="Arial"/>
      <family val="2"/>
    </font>
    <font>
      <sz val="10"/>
      <color indexed="17"/>
      <name val="Arial"/>
      <family val="2"/>
    </font>
    <font>
      <b/>
      <u/>
      <sz val="14"/>
      <name val="Arial"/>
      <family val="2"/>
    </font>
    <font>
      <sz val="10"/>
      <color theme="1"/>
      <name val="Arial"/>
      <family val="2"/>
    </font>
    <font>
      <vertAlign val="superscript"/>
      <sz val="10"/>
      <color theme="1"/>
      <name val="Arial"/>
      <family val="2"/>
    </font>
    <font>
      <sz val="8"/>
      <name val="Calibri"/>
      <family val="2"/>
      <scheme val="minor"/>
    </font>
    <font>
      <sz val="10"/>
      <name val="Arial "/>
    </font>
    <font>
      <sz val="10"/>
      <color theme="1"/>
      <name val="Arial "/>
    </font>
    <font>
      <vertAlign val="superscript"/>
      <sz val="10"/>
      <color theme="1"/>
      <name val="Arial "/>
    </font>
    <font>
      <b/>
      <sz val="10"/>
      <name val="Arial "/>
    </font>
    <font>
      <b/>
      <sz val="11"/>
      <color rgb="FFFF0000"/>
      <name val="Arial"/>
      <family val="2"/>
    </font>
    <font>
      <sz val="11"/>
      <color theme="1"/>
      <name val="Arial"/>
      <family val="2"/>
    </font>
    <font>
      <vertAlign val="subscript"/>
      <sz val="10"/>
      <color theme="1"/>
      <name val="Arial"/>
      <family val="2"/>
    </font>
    <font>
      <vertAlign val="subscript"/>
      <sz val="10"/>
      <color theme="1"/>
      <name val="Arial "/>
    </font>
    <font>
      <vertAlign val="subscript"/>
      <sz val="10"/>
      <name val="Arial "/>
    </font>
    <font>
      <vertAlign val="subscript"/>
      <sz val="10"/>
      <name val="Arial"/>
      <family val="2"/>
    </font>
    <font>
      <b/>
      <sz val="16"/>
      <color rgb="FF7030A0"/>
      <name val="Arial"/>
      <family val="2"/>
    </font>
    <font>
      <b/>
      <sz val="11"/>
      <color theme="1"/>
      <name val="Arial"/>
      <family val="2"/>
    </font>
    <font>
      <vertAlign val="superscript"/>
      <sz val="11"/>
      <color theme="1"/>
      <name val="Arial"/>
      <family val="2"/>
    </font>
    <font>
      <vertAlign val="subscript"/>
      <sz val="11"/>
      <color theme="1"/>
      <name val="Arial"/>
      <family val="2"/>
    </font>
    <font>
      <sz val="11"/>
      <name val="Arial"/>
      <family val="2"/>
    </font>
    <font>
      <vertAlign val="subscript"/>
      <sz val="11"/>
      <name val="Arial"/>
      <family val="2"/>
    </font>
    <font>
      <sz val="11"/>
      <color theme="0"/>
      <name val="Arial"/>
      <family val="2"/>
    </font>
    <font>
      <vertAlign val="superscript"/>
      <sz val="11"/>
      <color theme="0"/>
      <name val="Arial"/>
      <family val="2"/>
    </font>
    <font>
      <b/>
      <sz val="11"/>
      <color theme="0"/>
      <name val="Arial"/>
      <family val="2"/>
    </font>
    <font>
      <b/>
      <vertAlign val="subscript"/>
      <sz val="11"/>
      <color theme="0"/>
      <name val="Arial"/>
      <family val="2"/>
    </font>
    <font>
      <b/>
      <vertAlign val="superscript"/>
      <sz val="11"/>
      <color theme="0"/>
      <name val="Arial"/>
      <family val="2"/>
    </font>
    <font>
      <u/>
      <sz val="11"/>
      <color theme="10"/>
      <name val="Calibri"/>
      <family val="2"/>
      <scheme val="minor"/>
    </font>
    <font>
      <u/>
      <sz val="10"/>
      <color theme="10"/>
      <name val="Arial"/>
      <family val="2"/>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bgColor indexed="64"/>
      </patternFill>
    </fill>
    <fill>
      <patternFill patternType="solid">
        <fgColor theme="1"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2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3" fillId="0" borderId="0"/>
    <xf numFmtId="0" fontId="4" fillId="0" borderId="0"/>
    <xf numFmtId="0" fontId="15" fillId="0" borderId="0"/>
    <xf numFmtId="0" fontId="45" fillId="0" borderId="0" applyNumberFormat="0" applyFill="0" applyBorder="0" applyAlignment="0" applyProtection="0"/>
  </cellStyleXfs>
  <cellXfs count="307">
    <xf numFmtId="0" fontId="0" fillId="0" borderId="0" xfId="0"/>
    <xf numFmtId="0" fontId="5" fillId="2" borderId="0" xfId="0" applyFont="1" applyFill="1"/>
    <xf numFmtId="0" fontId="6" fillId="2" borderId="0" xfId="0" applyFont="1" applyFill="1"/>
    <xf numFmtId="0" fontId="8" fillId="2" borderId="0" xfId="0" applyFont="1" applyFill="1" applyBorder="1"/>
    <xf numFmtId="0" fontId="5" fillId="2" borderId="0" xfId="0" applyFont="1" applyFill="1" applyBorder="1"/>
    <xf numFmtId="0" fontId="6" fillId="2" borderId="0" xfId="0" applyFont="1" applyFill="1" applyAlignment="1">
      <alignment horizontal="right"/>
    </xf>
    <xf numFmtId="0" fontId="7" fillId="2" borderId="0" xfId="0" applyFont="1" applyFill="1" applyBorder="1"/>
    <xf numFmtId="0" fontId="9"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2" borderId="1" xfId="0" applyFont="1" applyFill="1" applyBorder="1" applyAlignment="1">
      <alignment horizontal="center" vertical="center"/>
    </xf>
    <xf numFmtId="165" fontId="8" fillId="2" borderId="2" xfId="0" applyNumberFormat="1" applyFont="1" applyFill="1" applyBorder="1" applyAlignment="1">
      <alignment horizontal="center" vertical="center"/>
    </xf>
    <xf numFmtId="0" fontId="9" fillId="2" borderId="4" xfId="0" applyFont="1" applyFill="1" applyBorder="1" applyAlignment="1">
      <alignment vertical="center"/>
    </xf>
    <xf numFmtId="0" fontId="5" fillId="2" borderId="0" xfId="0" applyFont="1" applyFill="1" applyBorder="1" applyAlignment="1" applyProtection="1">
      <protection locked="0"/>
    </xf>
    <xf numFmtId="0" fontId="8" fillId="2" borderId="0" xfId="0" applyFont="1" applyFill="1" applyBorder="1" applyAlignment="1">
      <alignment horizontal="left" vertical="center"/>
    </xf>
    <xf numFmtId="0" fontId="5" fillId="2" borderId="0" xfId="0" applyFont="1" applyFill="1" applyBorder="1" applyAlignment="1" applyProtection="1">
      <alignment horizontal="center"/>
      <protection locked="0"/>
    </xf>
    <xf numFmtId="0" fontId="6" fillId="2" borderId="0" xfId="0" applyFont="1" applyFill="1" applyBorder="1"/>
    <xf numFmtId="0" fontId="8" fillId="2" borderId="1" xfId="0" applyFont="1" applyFill="1" applyBorder="1" applyAlignment="1">
      <alignment vertical="center"/>
    </xf>
    <xf numFmtId="0" fontId="6" fillId="2" borderId="0" xfId="0" applyFont="1" applyFill="1" applyAlignment="1">
      <alignment horizontal="center" vertical="center"/>
    </xf>
    <xf numFmtId="0" fontId="12" fillId="2" borderId="0" xfId="0" applyFont="1" applyFill="1" applyBorder="1"/>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7" fillId="17" borderId="0" xfId="0" applyFont="1" applyFill="1" applyAlignment="1"/>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0" xfId="0" applyFont="1" applyFill="1" applyBorder="1" applyAlignment="1"/>
    <xf numFmtId="0" fontId="5" fillId="2" borderId="7" xfId="0" applyFont="1" applyFill="1" applyBorder="1" applyAlignment="1"/>
    <xf numFmtId="0" fontId="5" fillId="2" borderId="11" xfId="0" applyFont="1" applyFill="1" applyBorder="1" applyAlignment="1"/>
    <xf numFmtId="0" fontId="5" fillId="2" borderId="6" xfId="0" applyFont="1" applyFill="1" applyBorder="1" applyAlignment="1">
      <alignment horizontal="center"/>
    </xf>
    <xf numFmtId="0" fontId="5" fillId="2" borderId="1" xfId="0" applyFont="1" applyFill="1" applyBorder="1" applyAlignment="1">
      <alignment horizontal="center"/>
    </xf>
    <xf numFmtId="1" fontId="5" fillId="2" borderId="6" xfId="0" applyNumberFormat="1" applyFont="1" applyFill="1" applyBorder="1" applyAlignment="1">
      <alignment horizontal="center"/>
    </xf>
    <xf numFmtId="1" fontId="5" fillId="2" borderId="11" xfId="0" applyNumberFormat="1" applyFont="1" applyFill="1" applyBorder="1" applyAlignment="1">
      <alignment horizontal="center"/>
    </xf>
    <xf numFmtId="0" fontId="5" fillId="2" borderId="4" xfId="0" applyFont="1" applyFill="1" applyBorder="1" applyAlignment="1"/>
    <xf numFmtId="0" fontId="5" fillId="2" borderId="5" xfId="0" applyFont="1" applyFill="1" applyBorder="1" applyAlignment="1"/>
    <xf numFmtId="0" fontId="5" fillId="2" borderId="6" xfId="0" applyFont="1" applyFill="1" applyBorder="1" applyAlignment="1"/>
    <xf numFmtId="0" fontId="5" fillId="2" borderId="0" xfId="0" applyFont="1" applyFill="1" applyBorder="1" applyAlignment="1">
      <alignment horizontal="left"/>
    </xf>
    <xf numFmtId="1" fontId="5" fillId="2" borderId="0" xfId="0" applyNumberFormat="1" applyFont="1" applyFill="1" applyBorder="1"/>
    <xf numFmtId="1" fontId="5" fillId="2" borderId="12" xfId="0" applyNumberFormat="1" applyFont="1" applyFill="1" applyBorder="1" applyAlignment="1">
      <alignment horizontal="center"/>
    </xf>
    <xf numFmtId="0" fontId="5" fillId="2" borderId="8" xfId="0" applyFont="1" applyFill="1" applyBorder="1" applyAlignment="1"/>
    <xf numFmtId="0" fontId="5" fillId="17" borderId="0" xfId="0" applyFont="1" applyFill="1"/>
    <xf numFmtId="0" fontId="5" fillId="17" borderId="1" xfId="0" applyFont="1" applyFill="1" applyBorder="1"/>
    <xf numFmtId="0" fontId="14" fillId="2" borderId="0" xfId="0" applyFont="1" applyFill="1" applyAlignment="1">
      <alignment horizontal="center"/>
    </xf>
    <xf numFmtId="164" fontId="5" fillId="17" borderId="1" xfId="0" applyNumberFormat="1" applyFont="1" applyFill="1" applyBorder="1" applyAlignment="1" applyProtection="1">
      <alignment horizontal="center" vertical="center"/>
      <protection locked="0"/>
    </xf>
    <xf numFmtId="164" fontId="5" fillId="17" borderId="2" xfId="0" applyNumberFormat="1" applyFont="1" applyFill="1" applyBorder="1" applyAlignment="1" applyProtection="1">
      <alignment horizontal="center" vertical="center"/>
      <protection locked="0"/>
    </xf>
    <xf numFmtId="0" fontId="8" fillId="2" borderId="9" xfId="0" applyFont="1" applyFill="1" applyBorder="1"/>
    <xf numFmtId="0" fontId="5" fillId="2" borderId="2" xfId="0" applyFont="1" applyFill="1" applyBorder="1" applyAlignment="1" applyProtection="1">
      <alignment horizontal="center" vertical="center"/>
    </xf>
    <xf numFmtId="164" fontId="9" fillId="2" borderId="1" xfId="0" applyNumberFormat="1" applyFont="1" applyFill="1" applyBorder="1" applyAlignment="1" applyProtection="1">
      <alignment horizontal="center" vertical="center"/>
    </xf>
    <xf numFmtId="0" fontId="8" fillId="2" borderId="4" xfId="0" applyFont="1" applyFill="1" applyBorder="1" applyAlignment="1">
      <alignment vertical="center"/>
    </xf>
    <xf numFmtId="0" fontId="8" fillId="2" borderId="6" xfId="0" applyFont="1" applyFill="1" applyBorder="1" applyAlignment="1">
      <alignment vertical="center"/>
    </xf>
    <xf numFmtId="165" fontId="5" fillId="2" borderId="1" xfId="0" applyNumberFormat="1" applyFont="1" applyFill="1" applyBorder="1" applyAlignment="1">
      <alignment horizontal="center"/>
    </xf>
    <xf numFmtId="0" fontId="5" fillId="2" borderId="0" xfId="0" applyFont="1" applyFill="1" applyBorder="1" applyAlignment="1">
      <alignment horizontal="center"/>
    </xf>
    <xf numFmtId="165" fontId="9" fillId="2" borderId="1" xfId="0" applyNumberFormat="1" applyFont="1" applyFill="1" applyBorder="1" applyAlignment="1">
      <alignment horizontal="center" vertical="center"/>
    </xf>
    <xf numFmtId="0" fontId="16" fillId="18" borderId="1" xfId="0" applyFont="1" applyFill="1" applyBorder="1"/>
    <xf numFmtId="0" fontId="2" fillId="0" borderId="1" xfId="0" applyFont="1" applyBorder="1" applyAlignment="1" applyProtection="1">
      <alignment horizontal="center"/>
    </xf>
    <xf numFmtId="0" fontId="16" fillId="18" borderId="1" xfId="0" applyFont="1" applyFill="1" applyBorder="1" applyAlignment="1" applyProtection="1">
      <alignment horizontal="center" vertical="center"/>
    </xf>
    <xf numFmtId="9" fontId="5" fillId="2" borderId="6" xfId="1" applyNumberFormat="1" applyFont="1" applyFill="1" applyBorder="1" applyAlignment="1">
      <alignment horizontal="center" vertical="center"/>
    </xf>
    <xf numFmtId="0" fontId="8" fillId="2" borderId="0" xfId="0" applyFont="1" applyFill="1"/>
    <xf numFmtId="0" fontId="8" fillId="2" borderId="18" xfId="0" applyFont="1" applyFill="1" applyBorder="1"/>
    <xf numFmtId="0" fontId="8" fillId="0" borderId="1" xfId="0" applyFont="1" applyBorder="1" applyAlignment="1">
      <alignment horizontal="center" vertical="center"/>
    </xf>
    <xf numFmtId="0" fontId="9" fillId="17" borderId="0" xfId="0" applyFont="1" applyFill="1" applyAlignment="1"/>
    <xf numFmtId="0" fontId="8" fillId="2" borderId="1" xfId="0" applyFont="1" applyFill="1" applyBorder="1" applyAlignment="1">
      <alignment horizontal="center"/>
    </xf>
    <xf numFmtId="1" fontId="8" fillId="2" borderId="1" xfId="0" applyNumberFormat="1" applyFont="1" applyFill="1" applyBorder="1" applyAlignment="1">
      <alignment horizontal="center"/>
    </xf>
    <xf numFmtId="1" fontId="8" fillId="2" borderId="0" xfId="0" applyNumberFormat="1" applyFont="1" applyFill="1" applyBorder="1"/>
    <xf numFmtId="0" fontId="8" fillId="2" borderId="1" xfId="0" applyFont="1" applyFill="1" applyBorder="1" applyAlignment="1">
      <alignment horizontal="center" vertical="center"/>
    </xf>
    <xf numFmtId="0" fontId="21" fillId="2" borderId="0" xfId="0" applyFont="1" applyFill="1"/>
    <xf numFmtId="0" fontId="21" fillId="0" borderId="1" xfId="0" applyFont="1" applyFill="1" applyBorder="1"/>
    <xf numFmtId="49" fontId="2" fillId="0" borderId="1" xfId="2" applyNumberFormat="1" applyFont="1" applyBorder="1" applyAlignment="1">
      <alignment horizontal="center" vertical="center" wrapText="1"/>
    </xf>
    <xf numFmtId="0" fontId="21" fillId="0" borderId="1" xfId="0" applyFont="1" applyBorder="1"/>
    <xf numFmtId="49" fontId="2" fillId="0" borderId="1" xfId="2" applyNumberFormat="1" applyFont="1" applyFill="1" applyBorder="1" applyAlignment="1">
      <alignment horizontal="center" vertical="center" wrapText="1"/>
    </xf>
    <xf numFmtId="0" fontId="21" fillId="2" borderId="0" xfId="0" applyFont="1" applyFill="1" applyBorder="1"/>
    <xf numFmtId="0" fontId="21" fillId="2" borderId="0" xfId="0" applyFont="1" applyFill="1" applyAlignment="1">
      <alignment horizontal="center"/>
    </xf>
    <xf numFmtId="0" fontId="2" fillId="2" borderId="0" xfId="0" applyFont="1" applyFill="1" applyProtection="1"/>
    <xf numFmtId="0" fontId="16" fillId="18" borderId="1" xfId="0" applyFont="1" applyFill="1" applyBorder="1" applyAlignment="1">
      <alignment horizontal="center" vertical="center"/>
    </xf>
    <xf numFmtId="11" fontId="2" fillId="0" borderId="1" xfId="2" applyNumberFormat="1" applyBorder="1" applyAlignment="1">
      <alignment horizontal="center" vertical="center" wrapText="1"/>
    </xf>
    <xf numFmtId="0" fontId="2" fillId="0" borderId="1" xfId="2" applyBorder="1" applyAlignment="1">
      <alignment horizontal="center" vertical="center" wrapText="1"/>
    </xf>
    <xf numFmtId="165" fontId="2" fillId="0" borderId="1" xfId="2" applyNumberFormat="1" applyBorder="1" applyAlignment="1">
      <alignment horizontal="center" vertical="center"/>
    </xf>
    <xf numFmtId="166" fontId="16" fillId="0" borderId="1" xfId="2" applyNumberFormat="1" applyFont="1" applyBorder="1" applyAlignment="1">
      <alignment horizontal="center" vertical="center" wrapText="1"/>
    </xf>
    <xf numFmtId="0" fontId="2" fillId="2" borderId="0" xfId="0" applyFont="1" applyFill="1"/>
    <xf numFmtId="49" fontId="2" fillId="2" borderId="0" xfId="2" applyNumberFormat="1" applyFill="1" applyAlignment="1">
      <alignment horizontal="center" vertical="center" wrapText="1"/>
    </xf>
    <xf numFmtId="49" fontId="2" fillId="0" borderId="0" xfId="2" applyNumberFormat="1" applyAlignment="1">
      <alignment horizontal="center" vertical="center" wrapText="1"/>
    </xf>
    <xf numFmtId="11" fontId="21" fillId="2" borderId="0" xfId="0" applyNumberFormat="1" applyFont="1" applyFill="1"/>
    <xf numFmtId="49" fontId="21" fillId="2" borderId="1" xfId="0" applyNumberFormat="1" applyFont="1" applyFill="1" applyBorder="1" applyAlignment="1">
      <alignment horizontal="center" vertical="center"/>
    </xf>
    <xf numFmtId="0" fontId="2" fillId="0" borderId="1" xfId="2" applyNumberFormat="1" applyBorder="1" applyAlignment="1">
      <alignment horizontal="center" vertical="center" wrapText="1"/>
    </xf>
    <xf numFmtId="0" fontId="21" fillId="0" borderId="1" xfId="0" applyFont="1" applyBorder="1" applyAlignment="1" applyProtection="1">
      <alignment horizontal="center"/>
    </xf>
    <xf numFmtId="0" fontId="16" fillId="18" borderId="1" xfId="0" applyFont="1" applyFill="1" applyBorder="1" applyAlignment="1" applyProtection="1">
      <alignment vertical="center"/>
    </xf>
    <xf numFmtId="49" fontId="2" fillId="0" borderId="0" xfId="2" applyNumberFormat="1" applyFont="1" applyBorder="1" applyAlignment="1">
      <alignment horizontal="center" vertical="center" wrapText="1"/>
    </xf>
    <xf numFmtId="0" fontId="21" fillId="2" borderId="0" xfId="0" applyFont="1" applyFill="1" applyProtection="1"/>
    <xf numFmtId="0" fontId="21" fillId="2" borderId="0" xfId="0" applyFont="1" applyFill="1" applyAlignment="1" applyProtection="1">
      <alignment horizontal="right"/>
    </xf>
    <xf numFmtId="166" fontId="21" fillId="2" borderId="0" xfId="0" applyNumberFormat="1" applyFont="1" applyFill="1" applyProtection="1"/>
    <xf numFmtId="0" fontId="19" fillId="2" borderId="0" xfId="0" applyFont="1" applyFill="1" applyBorder="1" applyAlignment="1" applyProtection="1">
      <alignment horizontal="centerContinuous"/>
    </xf>
    <xf numFmtId="0" fontId="16" fillId="2" borderId="0" xfId="0" applyFont="1" applyFill="1" applyBorder="1" applyProtection="1"/>
    <xf numFmtId="0" fontId="16" fillId="2" borderId="0" xfId="0" applyFont="1" applyFill="1" applyBorder="1" applyAlignment="1" applyProtection="1">
      <alignment horizontal="center"/>
    </xf>
    <xf numFmtId="0" fontId="2" fillId="2" borderId="0" xfId="2" applyFont="1" applyFill="1" applyBorder="1" applyAlignment="1">
      <alignment horizontal="left" vertical="center" wrapText="1"/>
    </xf>
    <xf numFmtId="0" fontId="16" fillId="2" borderId="0" xfId="0" applyFont="1" applyFill="1" applyProtection="1"/>
    <xf numFmtId="165" fontId="2" fillId="0" borderId="1" xfId="0" applyNumberFormat="1" applyFont="1" applyBorder="1" applyAlignment="1" applyProtection="1">
      <alignment horizontal="center"/>
    </xf>
    <xf numFmtId="11" fontId="2" fillId="0" borderId="1" xfId="0" applyNumberFormat="1" applyFont="1" applyBorder="1" applyAlignment="1" applyProtection="1">
      <alignment horizontal="center"/>
    </xf>
    <xf numFmtId="49" fontId="2" fillId="2" borderId="0" xfId="2" applyNumberFormat="1" applyFont="1" applyFill="1" applyBorder="1" applyAlignment="1">
      <alignment horizontal="center" vertical="center" wrapText="1"/>
    </xf>
    <xf numFmtId="167" fontId="2" fillId="2" borderId="0" xfId="0" applyNumberFormat="1" applyFont="1" applyFill="1" applyBorder="1" applyAlignment="1" applyProtection="1">
      <alignment horizontal="center"/>
      <protection locked="0"/>
    </xf>
    <xf numFmtId="0" fontId="21" fillId="2" borderId="0" xfId="0" applyFont="1" applyFill="1" applyBorder="1" applyAlignment="1" applyProtection="1">
      <alignment horizontal="center"/>
    </xf>
    <xf numFmtId="166" fontId="18" fillId="2" borderId="0" xfId="0" applyNumberFormat="1" applyFont="1" applyFill="1" applyBorder="1" applyAlignment="1" applyProtection="1">
      <alignment horizontal="center"/>
    </xf>
    <xf numFmtId="166" fontId="16" fillId="0" borderId="1" xfId="0" applyNumberFormat="1" applyFont="1" applyBorder="1" applyAlignment="1" applyProtection="1">
      <alignment horizontal="center"/>
    </xf>
    <xf numFmtId="11" fontId="2" fillId="0" borderId="1" xfId="2" applyNumberFormat="1" applyFont="1" applyBorder="1" applyAlignment="1">
      <alignment horizontal="center" vertical="center" wrapText="1"/>
    </xf>
    <xf numFmtId="0" fontId="2" fillId="0" borderId="1" xfId="2" applyNumberFormat="1" applyFont="1" applyBorder="1" applyAlignment="1">
      <alignment horizontal="center" vertical="center" wrapText="1"/>
    </xf>
    <xf numFmtId="165" fontId="2" fillId="0" borderId="1" xfId="2" applyNumberFormat="1" applyFont="1" applyBorder="1" applyAlignment="1">
      <alignment horizontal="center" vertical="center"/>
    </xf>
    <xf numFmtId="0" fontId="2" fillId="0" borderId="1" xfId="2" applyFont="1" applyBorder="1" applyAlignment="1">
      <alignment horizontal="center" vertical="center" wrapText="1"/>
    </xf>
    <xf numFmtId="49" fontId="2" fillId="2" borderId="0" xfId="2" applyNumberFormat="1" applyFont="1" applyFill="1" applyAlignment="1">
      <alignment horizontal="center" vertical="center" wrapText="1"/>
    </xf>
    <xf numFmtId="0" fontId="17" fillId="2" borderId="0" xfId="0" applyFont="1" applyFill="1" applyAlignment="1">
      <alignment horizontal="left" vertical="center"/>
    </xf>
    <xf numFmtId="0" fontId="17" fillId="2" borderId="0" xfId="0" applyFont="1" applyFill="1" applyAlignment="1" applyProtection="1">
      <alignment horizontal="left" vertical="top"/>
    </xf>
    <xf numFmtId="0" fontId="17" fillId="2" borderId="0" xfId="0" applyFont="1" applyFill="1" applyAlignment="1">
      <alignment horizontal="left" vertical="top"/>
    </xf>
    <xf numFmtId="0" fontId="16" fillId="18" borderId="1" xfId="0" applyFont="1" applyFill="1" applyBorder="1" applyAlignment="1">
      <alignment vertical="center"/>
    </xf>
    <xf numFmtId="0" fontId="21" fillId="2" borderId="0" xfId="0" applyFont="1" applyFill="1" applyAlignment="1">
      <alignment vertical="center"/>
    </xf>
    <xf numFmtId="0" fontId="21" fillId="0" borderId="1" xfId="0" applyFont="1" applyBorder="1" applyAlignment="1">
      <alignment vertical="center"/>
    </xf>
    <xf numFmtId="0" fontId="21" fillId="0" borderId="0" xfId="0" applyFont="1" applyBorder="1" applyAlignment="1">
      <alignment vertical="center"/>
    </xf>
    <xf numFmtId="49" fontId="24" fillId="0" borderId="1" xfId="2" applyNumberFormat="1" applyFont="1" applyBorder="1" applyAlignment="1">
      <alignment horizontal="center" vertical="center" wrapText="1"/>
    </xf>
    <xf numFmtId="11" fontId="24" fillId="0" borderId="1" xfId="2" applyNumberFormat="1" applyFont="1" applyBorder="1" applyAlignment="1">
      <alignment horizontal="center" vertical="center" wrapText="1"/>
    </xf>
    <xf numFmtId="49" fontId="25" fillId="2" borderId="1" xfId="0" applyNumberFormat="1" applyFont="1" applyFill="1" applyBorder="1" applyAlignment="1">
      <alignment horizontal="center" vertical="center"/>
    </xf>
    <xf numFmtId="0" fontId="24" fillId="0" borderId="1" xfId="2" applyNumberFormat="1" applyFont="1" applyBorder="1" applyAlignment="1">
      <alignment horizontal="center" vertical="center" wrapText="1"/>
    </xf>
    <xf numFmtId="165" fontId="24" fillId="0" borderId="1" xfId="2" applyNumberFormat="1" applyFont="1" applyBorder="1" applyAlignment="1">
      <alignment horizontal="center" vertical="center"/>
    </xf>
    <xf numFmtId="166" fontId="27" fillId="0" borderId="1" xfId="2" applyNumberFormat="1" applyFont="1" applyBorder="1" applyAlignment="1">
      <alignment horizontal="center" vertical="center" wrapText="1"/>
    </xf>
    <xf numFmtId="0" fontId="24" fillId="0" borderId="1" xfId="2" applyFont="1" applyBorder="1" applyAlignment="1">
      <alignment horizontal="center" vertical="center" wrapText="1"/>
    </xf>
    <xf numFmtId="0" fontId="25" fillId="2" borderId="0" xfId="0" applyFont="1" applyFill="1"/>
    <xf numFmtId="0" fontId="25" fillId="0" borderId="1" xfId="0" applyFont="1" applyBorder="1" applyProtection="1"/>
    <xf numFmtId="0" fontId="24" fillId="0" borderId="1" xfId="0" applyFont="1" applyBorder="1" applyProtection="1"/>
    <xf numFmtId="168" fontId="8" fillId="2" borderId="2" xfId="0" applyNumberFormat="1" applyFont="1" applyFill="1" applyBorder="1" applyAlignment="1">
      <alignment horizontal="center" vertical="center"/>
    </xf>
    <xf numFmtId="168" fontId="7" fillId="2" borderId="1" xfId="0" applyNumberFormat="1" applyFont="1" applyFill="1" applyBorder="1" applyAlignment="1">
      <alignment horizontal="center"/>
    </xf>
    <xf numFmtId="49" fontId="20" fillId="0" borderId="0" xfId="5" applyNumberFormat="1" applyFont="1" applyFill="1" applyBorder="1" applyAlignment="1">
      <alignment horizontal="center" wrapText="1"/>
    </xf>
    <xf numFmtId="0" fontId="17" fillId="0" borderId="0" xfId="5" applyFont="1" applyFill="1" applyAlignment="1">
      <alignment wrapText="1"/>
    </xf>
    <xf numFmtId="0" fontId="2" fillId="0" borderId="0" xfId="5" applyNumberFormat="1" applyFont="1" applyFill="1" applyAlignment="1">
      <alignment vertical="top" wrapText="1"/>
    </xf>
    <xf numFmtId="0" fontId="28" fillId="0" borderId="0" xfId="0" applyFont="1" applyFill="1"/>
    <xf numFmtId="0" fontId="29" fillId="0" borderId="0" xfId="0" applyFont="1" applyFill="1"/>
    <xf numFmtId="0" fontId="2" fillId="0" borderId="0" xfId="5" applyFont="1" applyFill="1" applyAlignment="1">
      <alignment wrapText="1"/>
    </xf>
    <xf numFmtId="0" fontId="21" fillId="0" borderId="0" xfId="0" applyFont="1" applyFill="1"/>
    <xf numFmtId="0" fontId="2" fillId="0" borderId="0" xfId="2" applyAlignment="1">
      <alignment wrapText="1"/>
    </xf>
    <xf numFmtId="0" fontId="5" fillId="2" borderId="0" xfId="0" applyFont="1" applyFill="1" applyBorder="1" applyAlignment="1">
      <alignment horizontal="left" vertical="top" wrapText="1"/>
    </xf>
    <xf numFmtId="0" fontId="2" fillId="0" borderId="0" xfId="5" applyFont="1" applyFill="1" applyAlignment="1">
      <alignment horizontal="left" vertical="top" wrapText="1"/>
    </xf>
    <xf numFmtId="0" fontId="2" fillId="0" borderId="0" xfId="2" applyAlignment="1">
      <alignment vertical="top" wrapText="1"/>
    </xf>
    <xf numFmtId="0" fontId="2" fillId="0" borderId="0" xfId="2" applyFont="1" applyFill="1" applyAlignment="1">
      <alignment vertical="top" wrapText="1"/>
    </xf>
    <xf numFmtId="0" fontId="21" fillId="0" borderId="0" xfId="0" applyFont="1" applyFill="1" applyAlignment="1">
      <alignment vertical="top" wrapText="1"/>
    </xf>
    <xf numFmtId="0" fontId="21" fillId="0" borderId="0" xfId="0" applyFont="1" applyAlignment="1">
      <alignment vertical="top" wrapText="1"/>
    </xf>
    <xf numFmtId="0" fontId="34" fillId="2" borderId="0" xfId="0" applyFont="1" applyFill="1" applyBorder="1" applyAlignment="1">
      <alignment vertical="center"/>
    </xf>
    <xf numFmtId="0" fontId="29" fillId="2" borderId="0" xfId="0" applyFont="1" applyFill="1"/>
    <xf numFmtId="0" fontId="35" fillId="0"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0" borderId="2" xfId="0" applyFont="1" applyFill="1" applyBorder="1" applyAlignment="1">
      <alignment horizontal="center" vertical="center"/>
    </xf>
    <xf numFmtId="0" fontId="29" fillId="0" borderId="1" xfId="0" applyFont="1" applyBorder="1" applyProtection="1"/>
    <xf numFmtId="49" fontId="38" fillId="0" borderId="4" xfId="2" applyNumberFormat="1" applyFont="1" applyFill="1" applyBorder="1" applyAlignment="1">
      <alignment horizontal="center" vertical="center" wrapText="1"/>
    </xf>
    <xf numFmtId="11" fontId="29" fillId="0" borderId="1" xfId="0" applyNumberFormat="1" applyFont="1" applyFill="1" applyBorder="1" applyAlignment="1">
      <alignment horizontal="center" vertical="center"/>
    </xf>
    <xf numFmtId="11" fontId="29" fillId="5" borderId="1" xfId="0" applyNumberFormat="1" applyFont="1" applyFill="1" applyBorder="1" applyAlignment="1">
      <alignment horizontal="center" vertical="center"/>
    </xf>
    <xf numFmtId="49" fontId="29" fillId="0" borderId="4" xfId="0" applyNumberFormat="1" applyFont="1" applyFill="1" applyBorder="1" applyAlignment="1">
      <alignment horizontal="center" vertical="center"/>
    </xf>
    <xf numFmtId="2" fontId="35" fillId="2" borderId="4" xfId="0" applyNumberFormat="1" applyFont="1" applyFill="1" applyBorder="1" applyAlignment="1">
      <alignment horizontal="center" vertical="center"/>
    </xf>
    <xf numFmtId="2" fontId="35" fillId="2" borderId="1" xfId="0" applyNumberFormat="1" applyFont="1" applyFill="1" applyBorder="1" applyAlignment="1">
      <alignment horizontal="center" vertical="center"/>
    </xf>
    <xf numFmtId="0" fontId="29" fillId="2" borderId="1" xfId="0" applyFont="1" applyFill="1" applyBorder="1" applyAlignment="1">
      <alignment horizontal="center" vertical="center"/>
    </xf>
    <xf numFmtId="0" fontId="29" fillId="0" borderId="4" xfId="0" applyNumberFormat="1" applyFont="1" applyFill="1" applyBorder="1" applyAlignment="1">
      <alignment horizontal="center" vertical="center"/>
    </xf>
    <xf numFmtId="0" fontId="38" fillId="0" borderId="1" xfId="0" applyFont="1" applyBorder="1" applyProtection="1"/>
    <xf numFmtId="49" fontId="38" fillId="0" borderId="4" xfId="2" applyNumberFormat="1" applyFont="1" applyBorder="1" applyAlignment="1">
      <alignment horizontal="center" vertical="center" wrapText="1"/>
    </xf>
    <xf numFmtId="11" fontId="29" fillId="2" borderId="1" xfId="0" applyNumberFormat="1" applyFont="1" applyFill="1" applyBorder="1" applyAlignment="1">
      <alignment horizontal="center" vertical="center"/>
    </xf>
    <xf numFmtId="49" fontId="38" fillId="0" borderId="1" xfId="2" applyNumberFormat="1" applyFont="1" applyBorder="1" applyAlignment="1">
      <alignment horizontal="center" vertical="center" wrapText="1"/>
    </xf>
    <xf numFmtId="0" fontId="29" fillId="0" borderId="1" xfId="0" applyFont="1" applyFill="1" applyBorder="1"/>
    <xf numFmtId="11" fontId="29" fillId="0" borderId="1" xfId="0" applyNumberFormat="1" applyFont="1" applyBorder="1" applyAlignment="1">
      <alignment horizontal="center" vertical="center"/>
    </xf>
    <xf numFmtId="49" fontId="38" fillId="0" borderId="1" xfId="2" applyNumberFormat="1" applyFont="1" applyFill="1" applyBorder="1" applyAlignment="1">
      <alignment horizontal="center" vertical="center" wrapText="1"/>
    </xf>
    <xf numFmtId="0" fontId="38" fillId="0" borderId="1" xfId="4" applyFont="1" applyFill="1" applyBorder="1" applyAlignment="1"/>
    <xf numFmtId="0" fontId="29" fillId="2" borderId="0" xfId="0" applyFont="1" applyFill="1" applyBorder="1" applyAlignment="1">
      <alignment horizontal="center" vertical="center"/>
    </xf>
    <xf numFmtId="0" fontId="38" fillId="2" borderId="0" xfId="0" applyFont="1" applyFill="1" applyBorder="1"/>
    <xf numFmtId="0" fontId="29" fillId="2" borderId="4" xfId="0" applyFont="1" applyFill="1" applyBorder="1" applyAlignment="1">
      <alignment horizontal="center" vertical="center"/>
    </xf>
    <xf numFmtId="0" fontId="29" fillId="2" borderId="1" xfId="0" applyFont="1" applyFill="1" applyBorder="1"/>
    <xf numFmtId="165" fontId="29" fillId="2" borderId="1" xfId="0" applyNumberFormat="1" applyFont="1" applyFill="1" applyBorder="1" applyAlignment="1">
      <alignment horizontal="center" vertical="center"/>
    </xf>
    <xf numFmtId="165" fontId="29" fillId="2" borderId="4" xfId="0" applyNumberFormat="1" applyFont="1" applyFill="1" applyBorder="1" applyAlignment="1">
      <alignment horizontal="center" vertical="center"/>
    </xf>
    <xf numFmtId="165" fontId="29" fillId="8" borderId="17" xfId="0" applyNumberFormat="1" applyFont="1" applyFill="1" applyBorder="1" applyAlignment="1">
      <alignment horizontal="center"/>
    </xf>
    <xf numFmtId="165" fontId="29" fillId="2" borderId="1" xfId="0" applyNumberFormat="1" applyFont="1" applyFill="1" applyBorder="1" applyAlignment="1">
      <alignment horizontal="center"/>
    </xf>
    <xf numFmtId="165" fontId="29" fillId="2" borderId="4" xfId="0" applyNumberFormat="1" applyFont="1" applyFill="1" applyBorder="1" applyAlignment="1">
      <alignment horizontal="center"/>
    </xf>
    <xf numFmtId="165" fontId="38" fillId="2" borderId="1" xfId="2" applyNumberFormat="1" applyFont="1" applyFill="1" applyBorder="1" applyAlignment="1">
      <alignment horizontal="center" vertical="center" wrapText="1"/>
    </xf>
    <xf numFmtId="165" fontId="29" fillId="8" borderId="16" xfId="0" applyNumberFormat="1" applyFont="1" applyFill="1" applyBorder="1" applyAlignment="1">
      <alignment horizontal="center"/>
    </xf>
    <xf numFmtId="2" fontId="29" fillId="2" borderId="0" xfId="0" applyNumberFormat="1" applyFont="1" applyFill="1" applyBorder="1" applyAlignment="1">
      <alignment horizontal="center"/>
    </xf>
    <xf numFmtId="0" fontId="29" fillId="2" borderId="0" xfId="0" applyFont="1" applyFill="1" applyBorder="1" applyAlignment="1">
      <alignment horizontal="center"/>
    </xf>
    <xf numFmtId="0" fontId="29" fillId="2" borderId="0" xfId="0" applyFont="1" applyFill="1" applyAlignment="1">
      <alignment horizontal="center" vertical="center"/>
    </xf>
    <xf numFmtId="0" fontId="29" fillId="2" borderId="0" xfId="0" applyFont="1" applyFill="1" applyAlignment="1">
      <alignment horizontal="center"/>
    </xf>
    <xf numFmtId="0" fontId="29" fillId="9" borderId="1" xfId="0" applyFont="1" applyFill="1" applyBorder="1" applyAlignment="1">
      <alignment horizontal="center"/>
    </xf>
    <xf numFmtId="2" fontId="29" fillId="9" borderId="1" xfId="0" applyNumberFormat="1" applyFont="1" applyFill="1" applyBorder="1" applyAlignment="1">
      <alignment horizontal="center"/>
    </xf>
    <xf numFmtId="0" fontId="29" fillId="10" borderId="1" xfId="0" applyFont="1" applyFill="1" applyBorder="1" applyAlignment="1">
      <alignment horizontal="center"/>
    </xf>
    <xf numFmtId="0" fontId="29" fillId="11" borderId="1" xfId="0" applyFont="1" applyFill="1" applyBorder="1" applyAlignment="1">
      <alignment horizontal="center"/>
    </xf>
    <xf numFmtId="2" fontId="29" fillId="2" borderId="1" xfId="0" applyNumberFormat="1" applyFont="1" applyFill="1" applyBorder="1" applyAlignment="1">
      <alignment horizontal="center" vertical="center"/>
    </xf>
    <xf numFmtId="2" fontId="29" fillId="2" borderId="4" xfId="0" applyNumberFormat="1" applyFont="1" applyFill="1" applyBorder="1" applyAlignment="1">
      <alignment horizontal="center" vertical="center"/>
    </xf>
    <xf numFmtId="0" fontId="40" fillId="2" borderId="0" xfId="0" applyFont="1" applyFill="1" applyBorder="1"/>
    <xf numFmtId="0" fontId="29" fillId="6" borderId="1" xfId="0" applyFont="1" applyFill="1" applyBorder="1" applyAlignment="1">
      <alignment horizontal="center" vertical="center"/>
    </xf>
    <xf numFmtId="0" fontId="35" fillId="0" borderId="1" xfId="0" applyFont="1" applyFill="1" applyBorder="1" applyAlignment="1">
      <alignment horizontal="center" vertical="center"/>
    </xf>
    <xf numFmtId="11" fontId="29" fillId="6" borderId="1"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xf>
    <xf numFmtId="0" fontId="29" fillId="0" borderId="1" xfId="0" applyFont="1" applyBorder="1"/>
    <xf numFmtId="49" fontId="29" fillId="0" borderId="1" xfId="0" applyNumberFormat="1" applyFont="1" applyFill="1" applyBorder="1" applyAlignment="1">
      <alignment horizontal="center" vertical="center"/>
    </xf>
    <xf numFmtId="0" fontId="29" fillId="0" borderId="0" xfId="0" applyFont="1" applyBorder="1"/>
    <xf numFmtId="49" fontId="38" fillId="0" borderId="0" xfId="2" applyNumberFormat="1" applyFont="1" applyBorder="1" applyAlignment="1">
      <alignment horizontal="center" vertical="center" wrapText="1"/>
    </xf>
    <xf numFmtId="11" fontId="29" fillId="2" borderId="0" xfId="0" applyNumberFormat="1" applyFont="1" applyFill="1" applyBorder="1" applyAlignment="1">
      <alignment horizontal="center" vertical="center"/>
    </xf>
    <xf numFmtId="2" fontId="35" fillId="2" borderId="0" xfId="0" applyNumberFormat="1" applyFont="1" applyFill="1" applyBorder="1" applyAlignment="1">
      <alignment horizontal="center" vertical="center"/>
    </xf>
    <xf numFmtId="49" fontId="38" fillId="2" borderId="0" xfId="2" applyNumberFormat="1" applyFont="1" applyFill="1" applyBorder="1" applyAlignment="1">
      <alignment horizontal="center" vertical="center" wrapText="1"/>
    </xf>
    <xf numFmtId="11" fontId="38" fillId="2" borderId="0" xfId="0" applyNumberFormat="1" applyFont="1" applyFill="1" applyBorder="1" applyAlignment="1">
      <alignment horizontal="center" vertical="center"/>
    </xf>
    <xf numFmtId="0" fontId="29" fillId="0" borderId="1" xfId="0" applyFont="1" applyBorder="1" applyAlignment="1">
      <alignment horizontal="center" vertical="center"/>
    </xf>
    <xf numFmtId="49" fontId="38" fillId="2" borderId="1" xfId="2" applyNumberFormat="1" applyFont="1" applyFill="1" applyBorder="1" applyAlignment="1">
      <alignment horizontal="center" vertical="center" wrapText="1"/>
    </xf>
    <xf numFmtId="0" fontId="29" fillId="2" borderId="0" xfId="0" applyFont="1" applyFill="1" applyBorder="1"/>
    <xf numFmtId="0" fontId="29" fillId="6" borderId="1" xfId="0" applyFont="1" applyFill="1" applyBorder="1" applyAlignment="1">
      <alignment horizontal="center"/>
    </xf>
    <xf numFmtId="0" fontId="35" fillId="2" borderId="0" xfId="0" quotePrefix="1" applyFont="1" applyFill="1" applyBorder="1" applyAlignment="1">
      <alignment vertical="center"/>
    </xf>
    <xf numFmtId="0" fontId="35" fillId="2" borderId="0" xfId="0" applyFont="1" applyFill="1" applyBorder="1" applyAlignment="1">
      <alignment vertical="center"/>
    </xf>
    <xf numFmtId="0" fontId="35" fillId="2" borderId="0" xfId="0" quotePrefix="1" applyFont="1" applyFill="1" applyBorder="1" applyAlignment="1">
      <alignment horizontal="left" vertical="center"/>
    </xf>
    <xf numFmtId="0" fontId="35" fillId="2" borderId="0" xfId="0" applyFont="1" applyFill="1" applyBorder="1" applyAlignment="1">
      <alignment horizontal="left" vertical="center"/>
    </xf>
    <xf numFmtId="0" fontId="29" fillId="2" borderId="3" xfId="0" applyFont="1" applyFill="1" applyBorder="1" applyAlignment="1">
      <alignment horizontal="center"/>
    </xf>
    <xf numFmtId="0" fontId="2" fillId="2" borderId="1" xfId="0" applyFont="1" applyFill="1" applyBorder="1" applyAlignment="1">
      <alignment horizontal="center"/>
    </xf>
    <xf numFmtId="0" fontId="29" fillId="2" borderId="1" xfId="0" applyFont="1" applyFill="1" applyBorder="1" applyAlignment="1">
      <alignment horizontal="center" vertical="center"/>
    </xf>
    <xf numFmtId="0" fontId="29" fillId="2" borderId="4" xfId="0" applyFont="1" applyFill="1" applyBorder="1" applyAlignment="1">
      <alignment horizontal="center" vertical="center"/>
    </xf>
    <xf numFmtId="49" fontId="2" fillId="0" borderId="4" xfId="2" applyNumberFormat="1" applyFont="1" applyFill="1" applyBorder="1" applyAlignment="1">
      <alignment horizontal="center" vertical="center" wrapText="1"/>
    </xf>
    <xf numFmtId="0" fontId="29" fillId="2" borderId="1" xfId="0" applyFont="1" applyFill="1" applyBorder="1" applyAlignment="1">
      <alignment horizontal="center"/>
    </xf>
    <xf numFmtId="0" fontId="29" fillId="2" borderId="0" xfId="0" applyFont="1" applyFill="1" applyAlignment="1"/>
    <xf numFmtId="2" fontId="29" fillId="3" borderId="25" xfId="0" applyNumberFormat="1" applyFont="1" applyFill="1" applyBorder="1" applyAlignment="1">
      <alignment horizontal="center"/>
    </xf>
    <xf numFmtId="0" fontId="29" fillId="2" borderId="26" xfId="0" applyFont="1" applyFill="1" applyBorder="1" applyAlignment="1">
      <alignment horizontal="center"/>
    </xf>
    <xf numFmtId="0" fontId="29" fillId="2" borderId="27" xfId="0" applyFont="1" applyFill="1" applyBorder="1" applyAlignment="1">
      <alignment horizontal="center"/>
    </xf>
    <xf numFmtId="0" fontId="29" fillId="2" borderId="28" xfId="0" applyFont="1" applyFill="1" applyBorder="1" applyAlignment="1">
      <alignment horizontal="center"/>
    </xf>
    <xf numFmtId="0" fontId="29" fillId="6" borderId="33" xfId="0" applyFont="1" applyFill="1" applyBorder="1" applyAlignment="1">
      <alignment horizontal="center" vertical="center" wrapText="1"/>
    </xf>
    <xf numFmtId="0" fontId="29" fillId="2" borderId="33" xfId="0" applyFont="1" applyFill="1" applyBorder="1" applyAlignment="1">
      <alignment horizontal="center" vertical="center"/>
    </xf>
    <xf numFmtId="2" fontId="29" fillId="2" borderId="35" xfId="0" applyNumberFormat="1" applyFont="1" applyFill="1" applyBorder="1" applyAlignment="1">
      <alignment horizontal="center" vertical="center"/>
    </xf>
    <xf numFmtId="0" fontId="29" fillId="2" borderId="36" xfId="0" applyFont="1" applyFill="1" applyBorder="1" applyAlignment="1">
      <alignment horizontal="center" vertical="center"/>
    </xf>
    <xf numFmtId="0" fontId="29" fillId="2" borderId="11" xfId="0" applyFont="1" applyFill="1" applyBorder="1" applyAlignment="1">
      <alignment horizontal="center"/>
    </xf>
    <xf numFmtId="0" fontId="29" fillId="2" borderId="0" xfId="0" applyFont="1" applyFill="1" applyBorder="1" applyAlignment="1">
      <alignment vertical="center"/>
    </xf>
    <xf numFmtId="0" fontId="29" fillId="2" borderId="0" xfId="0" quotePrefix="1" applyFont="1" applyFill="1" applyBorder="1" applyAlignment="1">
      <alignment vertical="center"/>
    </xf>
    <xf numFmtId="0" fontId="29" fillId="2" borderId="32" xfId="0" applyFont="1" applyFill="1" applyBorder="1" applyAlignment="1">
      <alignment horizontal="center" vertical="center"/>
    </xf>
    <xf numFmtId="0" fontId="29" fillId="2" borderId="34" xfId="0" applyFont="1" applyFill="1" applyBorder="1" applyAlignment="1">
      <alignment horizontal="center" vertical="center"/>
    </xf>
    <xf numFmtId="0" fontId="38" fillId="6" borderId="28" xfId="0" applyFont="1" applyFill="1" applyBorder="1" applyAlignment="1">
      <alignment horizontal="center" vertical="center"/>
    </xf>
    <xf numFmtId="0" fontId="29" fillId="2" borderId="32" xfId="0" applyFont="1" applyFill="1" applyBorder="1" applyAlignment="1">
      <alignment horizontal="center"/>
    </xf>
    <xf numFmtId="0" fontId="29" fillId="2" borderId="34" xfId="0" applyFont="1" applyFill="1" applyBorder="1" applyAlignment="1">
      <alignment horizontal="center"/>
    </xf>
    <xf numFmtId="2" fontId="29" fillId="2" borderId="40" xfId="0" applyNumberFormat="1" applyFont="1" applyFill="1" applyBorder="1" applyAlignment="1">
      <alignment horizontal="center" vertical="center"/>
    </xf>
    <xf numFmtId="0" fontId="29" fillId="3" borderId="22" xfId="0" applyFont="1" applyFill="1" applyBorder="1" applyAlignment="1">
      <alignment horizontal="center"/>
    </xf>
    <xf numFmtId="0" fontId="21" fillId="0" borderId="1" xfId="0" applyFont="1" applyBorder="1" applyAlignment="1" applyProtection="1">
      <alignment horizontal="left" vertical="center"/>
      <protection locked="0"/>
    </xf>
    <xf numFmtId="49" fontId="2" fillId="0" borderId="1" xfId="2" applyNumberFormat="1" applyBorder="1" applyAlignment="1" applyProtection="1">
      <alignment horizontal="center" vertical="center" wrapText="1"/>
      <protection locked="0"/>
    </xf>
    <xf numFmtId="11" fontId="2" fillId="0" borderId="1" xfId="2" applyNumberFormat="1"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166" fontId="16" fillId="0" borderId="1" xfId="2" applyNumberFormat="1" applyFont="1" applyBorder="1" applyAlignment="1" applyProtection="1">
      <alignment horizontal="center" vertical="center" wrapText="1"/>
      <protection locked="0"/>
    </xf>
    <xf numFmtId="165" fontId="8" fillId="17" borderId="1" xfId="0" applyNumberFormat="1" applyFont="1" applyFill="1" applyBorder="1" applyAlignment="1" applyProtection="1">
      <alignment horizontal="center" vertical="center"/>
      <protection locked="0"/>
    </xf>
    <xf numFmtId="165" fontId="8" fillId="17" borderId="2" xfId="0" applyNumberFormat="1" applyFont="1" applyFill="1" applyBorder="1" applyAlignment="1" applyProtection="1">
      <alignment horizontal="center" vertical="center"/>
      <protection locked="0"/>
    </xf>
    <xf numFmtId="0" fontId="8" fillId="17" borderId="2" xfId="0" applyFont="1" applyFill="1" applyBorder="1" applyAlignment="1" applyProtection="1">
      <alignment horizontal="center" vertical="center"/>
      <protection locked="0"/>
    </xf>
    <xf numFmtId="0" fontId="45" fillId="0" borderId="0" xfId="6" applyFill="1"/>
    <xf numFmtId="168" fontId="8" fillId="17" borderId="1" xfId="0" applyNumberFormat="1" applyFont="1" applyFill="1" applyBorder="1" applyAlignment="1" applyProtection="1">
      <alignment horizontal="center" vertical="center"/>
      <protection locked="0"/>
    </xf>
    <xf numFmtId="0" fontId="29" fillId="2" borderId="1" xfId="0" applyFont="1" applyFill="1" applyBorder="1" applyAlignment="1">
      <alignment horizontal="center" vertical="center"/>
    </xf>
    <xf numFmtId="0" fontId="8" fillId="17" borderId="1" xfId="0" applyFont="1" applyFill="1" applyBorder="1" applyAlignment="1" applyProtection="1">
      <alignment horizontal="left" vertical="center"/>
      <protection locked="0"/>
    </xf>
    <xf numFmtId="0" fontId="8" fillId="2" borderId="1" xfId="0" applyFont="1" applyFill="1" applyBorder="1" applyAlignment="1">
      <alignment horizontal="left" vertical="center"/>
    </xf>
    <xf numFmtId="0" fontId="5" fillId="2" borderId="0" xfId="0" applyFont="1" applyFill="1" applyBorder="1" applyAlignment="1">
      <alignment horizontal="left" vertical="top" wrapText="1"/>
    </xf>
    <xf numFmtId="0" fontId="9" fillId="2" borderId="1" xfId="0" applyFont="1" applyFill="1" applyBorder="1" applyAlignment="1">
      <alignment horizontal="left"/>
    </xf>
    <xf numFmtId="0" fontId="9" fillId="2" borderId="0" xfId="0" applyFont="1" applyFill="1" applyBorder="1" applyAlignment="1">
      <alignment horizontal="left" vertical="center"/>
    </xf>
    <xf numFmtId="0" fontId="5" fillId="17" borderId="1" xfId="0" applyFont="1" applyFill="1" applyBorder="1" applyAlignment="1" applyProtection="1">
      <alignment horizontal="center"/>
      <protection locked="0"/>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7" fillId="2" borderId="7" xfId="0" applyFont="1" applyFill="1" applyBorder="1" applyAlignment="1">
      <alignment horizontal="left"/>
    </xf>
    <xf numFmtId="0" fontId="7" fillId="2" borderId="1" xfId="0" applyFont="1" applyFill="1" applyBorder="1" applyAlignment="1">
      <alignment horizontal="left"/>
    </xf>
    <xf numFmtId="0" fontId="9" fillId="17" borderId="1" xfId="0" applyFont="1" applyFill="1" applyBorder="1" applyAlignment="1" applyProtection="1">
      <alignment horizontal="center" vertical="center"/>
      <protection locked="0"/>
    </xf>
    <xf numFmtId="0" fontId="5" fillId="2" borderId="7" xfId="0" applyFont="1" applyFill="1" applyBorder="1" applyAlignment="1">
      <alignment horizontal="left" wrapText="1"/>
    </xf>
    <xf numFmtId="0" fontId="5" fillId="2" borderId="9" xfId="0" applyFont="1" applyFill="1" applyBorder="1" applyAlignment="1">
      <alignment horizontal="left" wrapText="1"/>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7" fillId="17" borderId="9" xfId="0" applyFont="1" applyFill="1" applyBorder="1" applyAlignment="1">
      <alignment horizontal="center"/>
    </xf>
    <xf numFmtId="0" fontId="12" fillId="2" borderId="1" xfId="0" applyFont="1" applyFill="1" applyBorder="1" applyAlignment="1">
      <alignment horizontal="center"/>
    </xf>
    <xf numFmtId="0" fontId="5" fillId="14" borderId="0" xfId="0" applyFont="1" applyFill="1" applyAlignment="1">
      <alignment horizontal="center"/>
    </xf>
    <xf numFmtId="0" fontId="8" fillId="2" borderId="0" xfId="0" applyFont="1" applyFill="1" applyBorder="1" applyAlignment="1">
      <alignment horizontal="left" wrapText="1"/>
    </xf>
    <xf numFmtId="0" fontId="7" fillId="17" borderId="18" xfId="0" applyFont="1" applyFill="1" applyBorder="1" applyAlignment="1">
      <alignment horizontal="center"/>
    </xf>
    <xf numFmtId="0" fontId="7" fillId="17" borderId="0" xfId="0" applyFont="1" applyFill="1" applyAlignment="1">
      <alignment horizontal="center"/>
    </xf>
    <xf numFmtId="0" fontId="12" fillId="17" borderId="4" xfId="0" applyFont="1" applyFill="1" applyBorder="1" applyAlignment="1">
      <alignment horizontal="center"/>
    </xf>
    <xf numFmtId="0" fontId="12" fillId="17" borderId="5" xfId="0" applyFont="1" applyFill="1" applyBorder="1" applyAlignment="1">
      <alignment horizontal="center"/>
    </xf>
    <xf numFmtId="0" fontId="12" fillId="17" borderId="6" xfId="0" applyFont="1" applyFill="1" applyBorder="1" applyAlignment="1">
      <alignment horizontal="center"/>
    </xf>
    <xf numFmtId="0" fontId="5" fillId="0" borderId="1" xfId="0" applyFont="1" applyBorder="1" applyAlignment="1">
      <alignment horizontal="center" vertical="center"/>
    </xf>
    <xf numFmtId="0" fontId="29" fillId="2" borderId="1" xfId="0" applyFont="1" applyFill="1" applyBorder="1" applyAlignment="1">
      <alignment horizontal="left" vertical="center"/>
    </xf>
    <xf numFmtId="0" fontId="29" fillId="2" borderId="1" xfId="0" applyFont="1" applyFill="1" applyBorder="1" applyAlignment="1">
      <alignment horizontal="center" vertical="center"/>
    </xf>
    <xf numFmtId="0" fontId="29" fillId="5"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13" borderId="13" xfId="0" applyFont="1" applyFill="1" applyBorder="1" applyAlignment="1">
      <alignment horizontal="center" vertical="center" wrapText="1"/>
    </xf>
    <xf numFmtId="0" fontId="29" fillId="13" borderId="14" xfId="0" applyFont="1" applyFill="1" applyBorder="1" applyAlignment="1">
      <alignment horizontal="center" vertical="center"/>
    </xf>
    <xf numFmtId="0" fontId="29" fillId="13" borderId="15" xfId="0" applyFont="1" applyFill="1" applyBorder="1" applyAlignment="1">
      <alignment horizontal="center" vertical="center"/>
    </xf>
    <xf numFmtId="0" fontId="29" fillId="2" borderId="32" xfId="0" applyFont="1" applyFill="1" applyBorder="1" applyAlignment="1">
      <alignment horizontal="center" vertical="center"/>
    </xf>
    <xf numFmtId="0" fontId="35" fillId="2" borderId="0" xfId="0" quotePrefix="1" applyFont="1" applyFill="1" applyBorder="1" applyAlignment="1">
      <alignment horizontal="left" vertical="center"/>
    </xf>
    <xf numFmtId="0" fontId="35" fillId="2" borderId="0" xfId="0" applyFont="1" applyFill="1" applyBorder="1" applyAlignment="1">
      <alignment horizontal="left" vertical="center"/>
    </xf>
    <xf numFmtId="0" fontId="35" fillId="0" borderId="4" xfId="0" applyFont="1" applyBorder="1" applyAlignment="1">
      <alignment horizontal="center"/>
    </xf>
    <xf numFmtId="0" fontId="35" fillId="0" borderId="6" xfId="0" applyFont="1" applyBorder="1" applyAlignment="1">
      <alignment horizontal="center"/>
    </xf>
    <xf numFmtId="0" fontId="29" fillId="7" borderId="9" xfId="0" applyFont="1" applyFill="1" applyBorder="1" applyAlignment="1">
      <alignment horizontal="center"/>
    </xf>
    <xf numFmtId="0" fontId="42" fillId="15" borderId="37" xfId="0" applyFont="1" applyFill="1" applyBorder="1" applyAlignment="1">
      <alignment horizontal="center"/>
    </xf>
    <xf numFmtId="0" fontId="42" fillId="15" borderId="38" xfId="0" applyFont="1" applyFill="1" applyBorder="1" applyAlignment="1">
      <alignment horizontal="center"/>
    </xf>
    <xf numFmtId="0" fontId="40" fillId="12" borderId="0" xfId="0" applyFont="1" applyFill="1" applyAlignment="1">
      <alignment horizontal="center"/>
    </xf>
    <xf numFmtId="0" fontId="29" fillId="14" borderId="20" xfId="0" applyFont="1" applyFill="1" applyBorder="1" applyAlignment="1">
      <alignment horizontal="center" vertical="center" wrapText="1"/>
    </xf>
    <xf numFmtId="0" fontId="29" fillId="14" borderId="19" xfId="0" applyFont="1" applyFill="1" applyBorder="1" applyAlignment="1">
      <alignment horizontal="center" vertical="center"/>
    </xf>
    <xf numFmtId="0" fontId="29" fillId="14" borderId="25" xfId="0" applyFont="1" applyFill="1" applyBorder="1" applyAlignment="1">
      <alignment horizontal="center" vertical="center"/>
    </xf>
    <xf numFmtId="0" fontId="29" fillId="14" borderId="21" xfId="0" applyFont="1" applyFill="1" applyBorder="1" applyAlignment="1">
      <alignment horizontal="center" vertical="center"/>
    </xf>
    <xf numFmtId="0" fontId="29" fillId="16" borderId="0" xfId="0" applyFont="1" applyFill="1" applyAlignment="1">
      <alignment horizontal="center"/>
    </xf>
    <xf numFmtId="0" fontId="42" fillId="4" borderId="0" xfId="0" applyFont="1" applyFill="1" applyAlignment="1">
      <alignment horizontal="center" vertical="center"/>
    </xf>
    <xf numFmtId="0" fontId="42" fillId="15" borderId="29" xfId="0" applyFont="1" applyFill="1" applyBorder="1" applyAlignment="1">
      <alignment horizontal="center"/>
    </xf>
    <xf numFmtId="0" fontId="42" fillId="15" borderId="41" xfId="0" applyFont="1" applyFill="1" applyBorder="1" applyAlignment="1">
      <alignment horizontal="center"/>
    </xf>
    <xf numFmtId="0" fontId="42" fillId="15" borderId="30" xfId="0" applyFont="1" applyFill="1" applyBorder="1" applyAlignment="1">
      <alignment horizontal="center"/>
    </xf>
    <xf numFmtId="0" fontId="29" fillId="2" borderId="42" xfId="0" applyFont="1" applyFill="1" applyBorder="1" applyAlignment="1">
      <alignment horizontal="center" vertical="center"/>
    </xf>
    <xf numFmtId="0" fontId="29" fillId="2" borderId="43" xfId="0" applyFont="1" applyFill="1" applyBorder="1" applyAlignment="1">
      <alignment horizontal="center" vertical="center"/>
    </xf>
    <xf numFmtId="0" fontId="29" fillId="2" borderId="6" xfId="0" applyFont="1" applyFill="1" applyBorder="1" applyAlignment="1">
      <alignment horizontal="center" vertical="center"/>
    </xf>
    <xf numFmtId="0" fontId="29" fillId="6" borderId="39"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42" fillId="15" borderId="29" xfId="0" applyFont="1" applyFill="1" applyBorder="1" applyAlignment="1">
      <alignment vertical="center"/>
    </xf>
    <xf numFmtId="0" fontId="42" fillId="15" borderId="30" xfId="0" applyFont="1" applyFill="1" applyBorder="1" applyAlignment="1">
      <alignment vertical="center"/>
    </xf>
    <xf numFmtId="0" fontId="29" fillId="0" borderId="1" xfId="0" applyFont="1" applyBorder="1" applyAlignment="1">
      <alignment horizontal="center" vertical="center"/>
    </xf>
    <xf numFmtId="0" fontId="46" fillId="0" borderId="0" xfId="6" applyFont="1" applyFill="1"/>
  </cellXfs>
  <cellStyles count="7">
    <cellStyle name="Hyperlink" xfId="6" builtinId="8"/>
    <cellStyle name="Normal" xfId="0" builtinId="0"/>
    <cellStyle name="Normal 2" xfId="5"/>
    <cellStyle name="Normal 2 2" xfId="2"/>
    <cellStyle name="Normal 3" xfId="3"/>
    <cellStyle name="Normal_Feuil1" xfId="4"/>
    <cellStyle name="Percent" xfId="1" builtinId="5"/>
  </cellStyles>
  <dxfs count="7">
    <dxf>
      <fill>
        <patternFill patternType="darkGray"/>
      </fill>
    </dxf>
    <dxf>
      <fill>
        <patternFill patternType="darkGray"/>
      </fill>
    </dxf>
    <dxf>
      <fill>
        <patternFill patternType="darkGray"/>
      </fill>
    </dxf>
    <dxf>
      <fill>
        <patternFill patternType="darkGray"/>
      </fill>
    </dxf>
    <dxf>
      <fill>
        <patternFill patternType="darkGray"/>
      </fill>
    </dxf>
    <dxf>
      <font>
        <color auto="1"/>
      </font>
      <fill>
        <patternFill patternType="darkGray">
          <bgColor theme="0"/>
        </patternFill>
      </fill>
      <border>
        <left/>
        <right/>
        <top/>
        <bottom/>
        <vertical/>
        <horizontal/>
      </border>
    </dxf>
    <dxf>
      <font>
        <color auto="1"/>
      </font>
      <numFmt numFmtId="0" formatCode="General"/>
      <fill>
        <patternFill patternType="darkGray">
          <bgColor theme="0"/>
        </patternFill>
      </fill>
      <border>
        <left/>
        <right/>
        <top/>
        <bottom/>
      </border>
    </dxf>
  </dxfs>
  <tableStyles count="0" defaultTableStyle="TableStyleMedium2" defaultPivotStyle="PivotStyleLight16"/>
  <colors>
    <mruColors>
      <color rgb="FFB68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pen.canada.ca/data/en/dataset/6839cb7a-d2d4-4239-94e8-bf0aa3984a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abSelected="1" zoomScale="115" zoomScaleNormal="115" workbookViewId="0">
      <selection activeCell="A3" sqref="A3"/>
    </sheetView>
  </sheetViews>
  <sheetFormatPr defaultColWidth="9.140625" defaultRowHeight="12.75"/>
  <cols>
    <col min="1" max="1" width="121.140625" style="131" customWidth="1"/>
    <col min="2" max="16384" width="9.140625" style="131"/>
  </cols>
  <sheetData>
    <row r="1" spans="1:1" s="129" customFormat="1" ht="15">
      <c r="A1" s="128"/>
    </row>
    <row r="2" spans="1:1" s="129" customFormat="1" ht="14.25"/>
    <row r="3" spans="1:1" s="129" customFormat="1" ht="18">
      <c r="A3" s="125" t="s">
        <v>192</v>
      </c>
    </row>
    <row r="4" spans="1:1" s="129" customFormat="1" ht="4.1500000000000004" customHeight="1"/>
    <row r="5" spans="1:1">
      <c r="A5" s="126" t="s">
        <v>193</v>
      </c>
    </row>
    <row r="6" spans="1:1" ht="4.1500000000000004" customHeight="1"/>
    <row r="7" spans="1:1" ht="44.45" customHeight="1">
      <c r="A7" s="127" t="s">
        <v>272</v>
      </c>
    </row>
    <row r="8" spans="1:1">
      <c r="A8" s="127"/>
    </row>
    <row r="9" spans="1:1">
      <c r="A9" s="126" t="s">
        <v>194</v>
      </c>
    </row>
    <row r="10" spans="1:1" ht="4.1500000000000004" customHeight="1"/>
    <row r="11" spans="1:1" ht="67.900000000000006" customHeight="1">
      <c r="A11" s="127" t="s">
        <v>245</v>
      </c>
    </row>
    <row r="12" spans="1:1" ht="3.6" customHeight="1">
      <c r="A12" s="127"/>
    </row>
    <row r="13" spans="1:1" ht="94.9" customHeight="1">
      <c r="A13" s="127" t="s">
        <v>241</v>
      </c>
    </row>
    <row r="14" spans="1:1" ht="4.1500000000000004" customHeight="1"/>
    <row r="15" spans="1:1" ht="27.75" customHeight="1">
      <c r="A15" s="137" t="s">
        <v>197</v>
      </c>
    </row>
    <row r="16" spans="1:1" ht="4.1500000000000004" customHeight="1"/>
    <row r="17" spans="1:1" ht="4.1500000000000004" customHeight="1">
      <c r="A17" s="130"/>
    </row>
    <row r="18" spans="1:1" ht="30" customHeight="1">
      <c r="A18" s="134" t="s">
        <v>287</v>
      </c>
    </row>
    <row r="19" spans="1:1" ht="3.6" customHeight="1"/>
    <row r="20" spans="1:1">
      <c r="A20" s="126" t="s">
        <v>195</v>
      </c>
    </row>
    <row r="21" spans="1:1" ht="4.1500000000000004" customHeight="1"/>
    <row r="22" spans="1:1" ht="25.5">
      <c r="A22" s="135" t="s">
        <v>242</v>
      </c>
    </row>
    <row r="23" spans="1:1" ht="21.95" customHeight="1">
      <c r="A23" s="135" t="s">
        <v>289</v>
      </c>
    </row>
    <row r="24" spans="1:1" ht="14.45" customHeight="1">
      <c r="A24" s="306" t="s">
        <v>290</v>
      </c>
    </row>
    <row r="25" spans="1:1" ht="8.4499999999999993" customHeight="1">
      <c r="A25" s="236"/>
    </row>
    <row r="26" spans="1:1">
      <c r="A26" s="126" t="s">
        <v>196</v>
      </c>
    </row>
    <row r="27" spans="1:1" ht="4.1500000000000004" customHeight="1"/>
    <row r="28" spans="1:1" ht="16.5" customHeight="1">
      <c r="A28" s="136" t="s">
        <v>248</v>
      </c>
    </row>
    <row r="29" spans="1:1" ht="4.1500000000000004" customHeight="1">
      <c r="A29" s="130"/>
    </row>
    <row r="30" spans="1:1" ht="49.9" customHeight="1">
      <c r="A30" s="135" t="s">
        <v>243</v>
      </c>
    </row>
    <row r="31" spans="1:1" ht="3.6" customHeight="1">
      <c r="A31" s="132"/>
    </row>
    <row r="32" spans="1:1" ht="55.9" customHeight="1">
      <c r="A32" s="137" t="s">
        <v>247</v>
      </c>
    </row>
    <row r="33" spans="1:1" ht="4.9000000000000004" customHeight="1"/>
    <row r="34" spans="1:1" ht="69.599999999999994" customHeight="1">
      <c r="A34" s="135" t="s">
        <v>244</v>
      </c>
    </row>
    <row r="35" spans="1:1" ht="2.25" customHeight="1">
      <c r="A35" s="132"/>
    </row>
    <row r="36" spans="1:1" ht="25.5">
      <c r="A36" s="138" t="s">
        <v>249</v>
      </c>
    </row>
    <row r="37" spans="1:1" ht="3.75" customHeight="1"/>
    <row r="38" spans="1:1" ht="38.25">
      <c r="A38" s="127" t="s">
        <v>296</v>
      </c>
    </row>
  </sheetData>
  <sheetProtection password="CA53" sheet="1" objects="1"/>
  <hyperlinks>
    <hyperlink ref="A24" r:id="rId1"/>
  </hyperlinks>
  <pageMargins left="0.62992125984251968" right="0.62992125984251968" top="0.59055118110236227" bottom="0.47244094488188981" header="0.31496062992125984" footer="0.31496062992125984"/>
  <pageSetup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zoomScaleNormal="100" workbookViewId="0">
      <selection activeCell="C4" sqref="C4:F4"/>
    </sheetView>
  </sheetViews>
  <sheetFormatPr defaultColWidth="9.140625" defaultRowHeight="12.75"/>
  <cols>
    <col min="1" max="1" width="24.85546875" style="1" customWidth="1"/>
    <col min="2" max="2" width="20.140625" style="1" customWidth="1"/>
    <col min="3" max="3" width="11.28515625" style="1" customWidth="1"/>
    <col min="4" max="4" width="13.28515625" style="1" customWidth="1"/>
    <col min="5" max="6" width="9.140625" style="1"/>
    <col min="7" max="7" width="9.140625" style="56" customWidth="1"/>
    <col min="8" max="8" width="9.140625" style="2"/>
    <col min="9" max="9" width="3.7109375" style="56" customWidth="1"/>
    <col min="10" max="10" width="9.140625" style="56"/>
    <col min="11" max="16384" width="9.140625" style="1"/>
  </cols>
  <sheetData>
    <row r="1" spans="1:8" ht="15" customHeight="1">
      <c r="B1" s="41" t="s">
        <v>166</v>
      </c>
    </row>
    <row r="2" spans="1:8" ht="15" customHeight="1">
      <c r="A2" s="6" t="s">
        <v>170</v>
      </c>
      <c r="B2" s="6" t="s">
        <v>113</v>
      </c>
      <c r="C2" s="4"/>
      <c r="D2" s="4"/>
      <c r="E2" s="4"/>
      <c r="F2" s="4"/>
      <c r="G2" s="3"/>
    </row>
    <row r="3" spans="1:8" ht="15" customHeight="1">
      <c r="A3" s="44" t="s">
        <v>172</v>
      </c>
      <c r="B3" s="4"/>
      <c r="C3" s="4"/>
      <c r="D3" s="4"/>
      <c r="E3" s="4"/>
      <c r="F3" s="4"/>
      <c r="G3" s="3"/>
    </row>
    <row r="4" spans="1:8" ht="15" customHeight="1">
      <c r="A4" s="249" t="s">
        <v>113</v>
      </c>
      <c r="B4" s="249"/>
      <c r="C4" s="250" t="s">
        <v>274</v>
      </c>
      <c r="D4" s="250"/>
      <c r="E4" s="250"/>
      <c r="F4" s="250"/>
      <c r="G4" s="3"/>
      <c r="H4" s="5" t="str">
        <f>IF(C4="Distillate","D","R")</f>
        <v>D</v>
      </c>
    </row>
    <row r="5" spans="1:8" ht="15" hidden="1" customHeight="1">
      <c r="A5" s="251" t="s">
        <v>173</v>
      </c>
      <c r="B5" s="251"/>
      <c r="C5" s="251"/>
      <c r="D5" s="4"/>
      <c r="E5" s="4"/>
      <c r="F5" s="4"/>
      <c r="G5" s="3"/>
    </row>
    <row r="6" spans="1:8" ht="15" customHeight="1">
      <c r="A6" s="252"/>
      <c r="B6" s="252"/>
      <c r="C6" s="252"/>
      <c r="D6" s="4"/>
      <c r="E6" s="4"/>
      <c r="F6" s="4"/>
      <c r="G6" s="3"/>
    </row>
    <row r="7" spans="1:8" ht="15" customHeight="1">
      <c r="A7" s="249" t="s">
        <v>114</v>
      </c>
      <c r="B7" s="249"/>
      <c r="C7" s="250" t="s">
        <v>115</v>
      </c>
      <c r="D7" s="250"/>
      <c r="E7" s="250"/>
      <c r="F7" s="250"/>
      <c r="G7" s="3"/>
      <c r="H7" s="2">
        <f>IF(C7="No.6 Oil",6,IF(C7="No.5 Oil",5,IF(C7="No.4 Oil",4)))</f>
        <v>6</v>
      </c>
    </row>
    <row r="8" spans="1:8" ht="15" customHeight="1">
      <c r="A8" s="6"/>
      <c r="B8" s="4"/>
      <c r="C8" s="4"/>
      <c r="D8" s="4"/>
      <c r="E8" s="4"/>
      <c r="F8" s="4"/>
      <c r="G8" s="3"/>
    </row>
    <row r="9" spans="1:8" ht="15" customHeight="1">
      <c r="A9" s="6" t="s">
        <v>215</v>
      </c>
      <c r="B9" s="6" t="s">
        <v>2</v>
      </c>
      <c r="C9" s="4"/>
      <c r="D9" s="4"/>
      <c r="E9" s="4"/>
      <c r="F9" s="4"/>
      <c r="G9" s="3"/>
      <c r="H9" s="15"/>
    </row>
    <row r="10" spans="1:8" ht="15" customHeight="1">
      <c r="A10" s="259" t="s">
        <v>275</v>
      </c>
      <c r="B10" s="259"/>
      <c r="C10" s="259"/>
      <c r="D10" s="259"/>
      <c r="E10" s="259"/>
      <c r="F10" s="259"/>
      <c r="G10" s="3"/>
      <c r="H10" s="15"/>
    </row>
    <row r="11" spans="1:8" ht="15" customHeight="1">
      <c r="A11" s="259"/>
      <c r="B11" s="259"/>
      <c r="C11" s="259"/>
      <c r="D11" s="259"/>
      <c r="E11" s="259"/>
      <c r="F11" s="259"/>
      <c r="G11" s="3"/>
      <c r="H11" s="15"/>
    </row>
    <row r="12" spans="1:8" ht="15" customHeight="1">
      <c r="A12" s="3" t="s">
        <v>231</v>
      </c>
      <c r="B12" s="3"/>
      <c r="C12" s="4"/>
      <c r="D12" s="4"/>
      <c r="E12" s="4"/>
      <c r="F12" s="4"/>
      <c r="G12" s="3"/>
      <c r="H12" s="15"/>
    </row>
    <row r="13" spans="1:8" ht="15" customHeight="1">
      <c r="A13" s="242" t="s">
        <v>3</v>
      </c>
      <c r="B13" s="242"/>
      <c r="C13" s="9" t="s">
        <v>167</v>
      </c>
      <c r="D13" s="4"/>
      <c r="E13" s="4"/>
      <c r="F13" s="4"/>
      <c r="G13" s="3"/>
      <c r="H13" s="15"/>
    </row>
    <row r="14" spans="1:8" ht="15" customHeight="1">
      <c r="A14" s="240" t="s">
        <v>4</v>
      </c>
      <c r="B14" s="240"/>
      <c r="C14" s="233"/>
      <c r="D14" s="4"/>
      <c r="E14" s="4"/>
      <c r="F14" s="4"/>
      <c r="G14" s="3"/>
      <c r="H14" s="15"/>
    </row>
    <row r="15" spans="1:8" ht="15" customHeight="1">
      <c r="A15" s="240" t="s">
        <v>5</v>
      </c>
      <c r="B15" s="240"/>
      <c r="C15" s="10">
        <v>39</v>
      </c>
      <c r="D15" s="4"/>
      <c r="E15" s="4"/>
      <c r="F15" s="4"/>
      <c r="G15" s="3"/>
      <c r="H15" s="15"/>
    </row>
    <row r="16" spans="1:8" ht="15" customHeight="1">
      <c r="A16" s="243" t="s">
        <v>6</v>
      </c>
      <c r="B16" s="243"/>
      <c r="C16" s="51">
        <f>IF(C14="",C15,C14)</f>
        <v>39</v>
      </c>
      <c r="D16" s="4"/>
      <c r="E16" s="4"/>
      <c r="F16" s="4"/>
      <c r="G16" s="3"/>
      <c r="H16" s="15"/>
    </row>
    <row r="17" spans="1:7" ht="15" customHeight="1">
      <c r="A17" s="6"/>
      <c r="B17" s="4"/>
      <c r="C17" s="4"/>
      <c r="D17" s="4"/>
      <c r="E17" s="4"/>
      <c r="F17" s="4"/>
      <c r="G17" s="3"/>
    </row>
    <row r="18" spans="1:7" ht="15" customHeight="1">
      <c r="A18" s="6" t="s">
        <v>171</v>
      </c>
      <c r="B18" s="6" t="s">
        <v>0</v>
      </c>
      <c r="C18" s="4"/>
      <c r="D18" s="4"/>
      <c r="E18" s="4"/>
      <c r="F18" s="4"/>
      <c r="G18" s="3"/>
    </row>
    <row r="19" spans="1:7" ht="15" customHeight="1">
      <c r="A19" s="3" t="s">
        <v>213</v>
      </c>
      <c r="B19" s="4"/>
      <c r="C19" s="4"/>
      <c r="D19" s="4"/>
      <c r="E19" s="4"/>
      <c r="F19" s="4"/>
      <c r="G19" s="3"/>
    </row>
    <row r="20" spans="1:7" ht="15" customHeight="1">
      <c r="A20" s="7" t="s">
        <v>174</v>
      </c>
      <c r="B20" s="7" t="s">
        <v>0</v>
      </c>
      <c r="C20" s="7" t="s">
        <v>203</v>
      </c>
      <c r="D20" s="7" t="s">
        <v>212</v>
      </c>
      <c r="E20" s="4"/>
      <c r="F20" s="4"/>
      <c r="G20" s="3"/>
    </row>
    <row r="21" spans="1:7" ht="15" customHeight="1">
      <c r="A21" s="8" t="s">
        <v>175</v>
      </c>
      <c r="B21" s="42"/>
      <c r="C21" s="29" t="s">
        <v>214</v>
      </c>
      <c r="D21" s="55" t="str">
        <f t="shared" ref="D21:D32" si="0">IFERROR(B21/$B$33,"")</f>
        <v/>
      </c>
      <c r="E21" s="4"/>
      <c r="F21" s="4"/>
      <c r="G21" s="3"/>
    </row>
    <row r="22" spans="1:7" ht="15" customHeight="1">
      <c r="A22" s="8" t="s">
        <v>176</v>
      </c>
      <c r="B22" s="42"/>
      <c r="C22" s="29" t="s">
        <v>214</v>
      </c>
      <c r="D22" s="55" t="str">
        <f t="shared" si="0"/>
        <v/>
      </c>
      <c r="E22" s="4"/>
      <c r="F22" s="4"/>
      <c r="G22" s="3"/>
    </row>
    <row r="23" spans="1:7" ht="15" customHeight="1">
      <c r="A23" s="8" t="s">
        <v>177</v>
      </c>
      <c r="B23" s="42"/>
      <c r="C23" s="29" t="s">
        <v>214</v>
      </c>
      <c r="D23" s="55" t="str">
        <f t="shared" si="0"/>
        <v/>
      </c>
      <c r="E23" s="4"/>
      <c r="F23" s="4"/>
      <c r="G23" s="3"/>
    </row>
    <row r="24" spans="1:7" ht="15" customHeight="1">
      <c r="A24" s="8" t="s">
        <v>178</v>
      </c>
      <c r="B24" s="42"/>
      <c r="C24" s="29" t="s">
        <v>214</v>
      </c>
      <c r="D24" s="55" t="str">
        <f t="shared" si="0"/>
        <v/>
      </c>
      <c r="E24" s="4"/>
      <c r="F24" s="4"/>
      <c r="G24" s="3"/>
    </row>
    <row r="25" spans="1:7" ht="15" customHeight="1">
      <c r="A25" s="8" t="s">
        <v>179</v>
      </c>
      <c r="B25" s="42"/>
      <c r="C25" s="29" t="s">
        <v>214</v>
      </c>
      <c r="D25" s="55" t="str">
        <f t="shared" si="0"/>
        <v/>
      </c>
      <c r="E25" s="4"/>
      <c r="F25" s="4"/>
      <c r="G25" s="3"/>
    </row>
    <row r="26" spans="1:7" ht="15" customHeight="1">
      <c r="A26" s="8" t="s">
        <v>180</v>
      </c>
      <c r="B26" s="42"/>
      <c r="C26" s="29" t="s">
        <v>214</v>
      </c>
      <c r="D26" s="55" t="str">
        <f t="shared" si="0"/>
        <v/>
      </c>
      <c r="E26" s="4"/>
      <c r="F26" s="4"/>
      <c r="G26" s="3"/>
    </row>
    <row r="27" spans="1:7" ht="15" customHeight="1">
      <c r="A27" s="8" t="s">
        <v>181</v>
      </c>
      <c r="B27" s="42"/>
      <c r="C27" s="29" t="s">
        <v>214</v>
      </c>
      <c r="D27" s="55" t="str">
        <f t="shared" si="0"/>
        <v/>
      </c>
      <c r="E27" s="4"/>
      <c r="F27" s="4"/>
      <c r="G27" s="3"/>
    </row>
    <row r="28" spans="1:7" ht="15" customHeight="1">
      <c r="A28" s="8" t="s">
        <v>182</v>
      </c>
      <c r="B28" s="42"/>
      <c r="C28" s="29" t="s">
        <v>214</v>
      </c>
      <c r="D28" s="55" t="str">
        <f t="shared" si="0"/>
        <v/>
      </c>
      <c r="E28" s="4"/>
      <c r="F28" s="4"/>
      <c r="G28" s="3"/>
    </row>
    <row r="29" spans="1:7" ht="15" customHeight="1">
      <c r="A29" s="8" t="s">
        <v>276</v>
      </c>
      <c r="B29" s="42"/>
      <c r="C29" s="29" t="s">
        <v>214</v>
      </c>
      <c r="D29" s="55" t="str">
        <f t="shared" si="0"/>
        <v/>
      </c>
      <c r="E29" s="4"/>
      <c r="F29" s="4"/>
      <c r="G29" s="3"/>
    </row>
    <row r="30" spans="1:7" ht="15" customHeight="1">
      <c r="A30" s="8" t="s">
        <v>183</v>
      </c>
      <c r="B30" s="42"/>
      <c r="C30" s="29" t="s">
        <v>214</v>
      </c>
      <c r="D30" s="55" t="str">
        <f t="shared" si="0"/>
        <v/>
      </c>
      <c r="E30" s="4"/>
      <c r="F30" s="4"/>
      <c r="G30" s="3"/>
    </row>
    <row r="31" spans="1:7" ht="15" customHeight="1">
      <c r="A31" s="8" t="s">
        <v>184</v>
      </c>
      <c r="B31" s="42"/>
      <c r="C31" s="29" t="s">
        <v>214</v>
      </c>
      <c r="D31" s="55" t="str">
        <f t="shared" si="0"/>
        <v/>
      </c>
      <c r="E31" s="4"/>
      <c r="F31" s="4"/>
      <c r="G31" s="3"/>
    </row>
    <row r="32" spans="1:7" ht="15" customHeight="1">
      <c r="A32" s="45" t="s">
        <v>185</v>
      </c>
      <c r="B32" s="43"/>
      <c r="C32" s="29" t="s">
        <v>214</v>
      </c>
      <c r="D32" s="55" t="str">
        <f t="shared" si="0"/>
        <v/>
      </c>
      <c r="E32" s="4"/>
      <c r="F32" s="4"/>
      <c r="G32" s="3"/>
    </row>
    <row r="33" spans="1:10" ht="15" customHeight="1">
      <c r="A33" s="7" t="s">
        <v>1</v>
      </c>
      <c r="B33" s="46">
        <f>SUM($B$21:$B$32)</f>
        <v>0</v>
      </c>
      <c r="C33" s="29" t="s">
        <v>214</v>
      </c>
      <c r="D33" s="4"/>
      <c r="E33" s="4"/>
      <c r="F33" s="4"/>
      <c r="G33" s="3"/>
    </row>
    <row r="34" spans="1:10" ht="15" customHeight="1">
      <c r="A34" s="4"/>
      <c r="B34" s="4"/>
      <c r="C34" s="4"/>
      <c r="D34" s="4"/>
      <c r="E34" s="4"/>
      <c r="F34" s="4"/>
      <c r="G34" s="3"/>
    </row>
    <row r="35" spans="1:10" ht="15" customHeight="1">
      <c r="A35" s="6" t="s">
        <v>232</v>
      </c>
      <c r="B35" s="6" t="s">
        <v>22</v>
      </c>
      <c r="C35" s="4"/>
      <c r="D35" s="4"/>
      <c r="E35" s="4"/>
      <c r="F35" s="4"/>
      <c r="G35" s="3"/>
    </row>
    <row r="36" spans="1:10" ht="15" customHeight="1">
      <c r="A36" s="4" t="s">
        <v>190</v>
      </c>
      <c r="B36" s="4"/>
      <c r="C36" s="4"/>
      <c r="D36" s="4"/>
      <c r="E36" s="4"/>
      <c r="F36" s="4"/>
      <c r="G36" s="3"/>
    </row>
    <row r="37" spans="1:10" ht="15" customHeight="1">
      <c r="A37" s="249" t="s">
        <v>22</v>
      </c>
      <c r="B37" s="249"/>
      <c r="C37" s="250" t="s">
        <v>288</v>
      </c>
      <c r="D37" s="250"/>
      <c r="E37" s="250"/>
      <c r="F37" s="250"/>
      <c r="G37" s="57"/>
      <c r="H37" s="17" t="str">
        <f>IF(C37="Industrial","I",IF(C37="Utility","U","C"))</f>
        <v>I</v>
      </c>
    </row>
    <row r="39" spans="1:10" ht="15" customHeight="1">
      <c r="A39" s="6" t="s">
        <v>187</v>
      </c>
      <c r="B39" s="6" t="s">
        <v>7</v>
      </c>
      <c r="C39" s="4"/>
      <c r="D39" s="4"/>
      <c r="E39" s="4"/>
      <c r="F39" s="4"/>
      <c r="G39" s="3"/>
    </row>
    <row r="40" spans="1:10" ht="15" customHeight="1">
      <c r="A40" s="241" t="s">
        <v>277</v>
      </c>
      <c r="B40" s="241"/>
      <c r="C40" s="241"/>
      <c r="D40" s="241"/>
      <c r="E40" s="241"/>
      <c r="F40" s="241"/>
      <c r="G40" s="241"/>
    </row>
    <row r="41" spans="1:10" ht="15" customHeight="1">
      <c r="A41" s="241"/>
      <c r="B41" s="241"/>
      <c r="C41" s="241"/>
      <c r="D41" s="241"/>
      <c r="E41" s="241"/>
      <c r="F41" s="241"/>
      <c r="G41" s="241"/>
    </row>
    <row r="42" spans="1:10" ht="15" customHeight="1">
      <c r="A42" s="11" t="s">
        <v>8</v>
      </c>
      <c r="B42" s="244" t="s">
        <v>9</v>
      </c>
      <c r="C42" s="244"/>
      <c r="D42" s="12"/>
      <c r="E42" s="4"/>
      <c r="F42" s="4"/>
      <c r="G42" s="3"/>
      <c r="H42" s="15"/>
    </row>
    <row r="43" spans="1:10" ht="15" customHeight="1">
      <c r="A43" s="11" t="s">
        <v>10</v>
      </c>
      <c r="B43" s="244" t="s">
        <v>11</v>
      </c>
      <c r="C43" s="244"/>
      <c r="D43" s="12"/>
      <c r="E43" s="4"/>
      <c r="F43" s="4"/>
      <c r="G43" s="3"/>
    </row>
    <row r="44" spans="1:10" s="4" customFormat="1" ht="15" customHeight="1">
      <c r="A44" s="13"/>
      <c r="B44" s="13"/>
      <c r="C44" s="14"/>
      <c r="D44" s="14"/>
      <c r="G44" s="3"/>
      <c r="H44" s="15"/>
      <c r="I44" s="3"/>
      <c r="J44" s="3"/>
    </row>
    <row r="45" spans="1:10" ht="15" customHeight="1">
      <c r="A45" s="16" t="s">
        <v>12</v>
      </c>
      <c r="B45" s="47"/>
      <c r="C45" s="48"/>
      <c r="D45" s="237"/>
      <c r="E45" s="4"/>
      <c r="F45" s="4"/>
      <c r="G45" s="3"/>
    </row>
    <row r="46" spans="1:10" ht="15" customHeight="1">
      <c r="A46" s="245" t="s">
        <v>13</v>
      </c>
      <c r="B46" s="246"/>
      <c r="C46" s="247"/>
      <c r="D46" s="123">
        <f>INDEX(C86:G89,MATCH(B43,B86:B89,0),MATCH(B42,C85:G85,0))</f>
        <v>4.6999999999999999E-4</v>
      </c>
      <c r="E46" s="4"/>
      <c r="F46" s="4"/>
      <c r="G46" s="3"/>
    </row>
    <row r="47" spans="1:10" ht="15" customHeight="1">
      <c r="A47" s="248" t="s">
        <v>14</v>
      </c>
      <c r="B47" s="248"/>
      <c r="C47" s="248"/>
      <c r="D47" s="124">
        <f>IF(D45="",D46,D45)</f>
        <v>4.6999999999999999E-4</v>
      </c>
      <c r="E47" s="4"/>
      <c r="F47" s="4"/>
      <c r="G47" s="3"/>
    </row>
    <row r="48" spans="1:10" ht="15" customHeight="1"/>
    <row r="49" spans="1:9" ht="15" customHeight="1">
      <c r="A49" s="6" t="s">
        <v>188</v>
      </c>
      <c r="B49" s="6" t="s">
        <v>189</v>
      </c>
      <c r="C49" s="4"/>
      <c r="D49" s="4"/>
      <c r="E49" s="4"/>
      <c r="F49" s="4"/>
      <c r="G49" s="3"/>
    </row>
    <row r="50" spans="1:9">
      <c r="A50" s="241" t="s">
        <v>191</v>
      </c>
      <c r="B50" s="241"/>
      <c r="C50" s="241"/>
      <c r="D50" s="241"/>
      <c r="E50" s="241"/>
      <c r="F50" s="241"/>
      <c r="G50" s="241"/>
      <c r="H50" s="241"/>
      <c r="I50" s="241"/>
    </row>
    <row r="51" spans="1:9" ht="16.899999999999999" customHeight="1">
      <c r="A51" s="241" t="s">
        <v>246</v>
      </c>
      <c r="B51" s="241"/>
      <c r="C51" s="241"/>
      <c r="D51" s="241"/>
      <c r="E51" s="241"/>
      <c r="F51" s="241"/>
      <c r="G51" s="241"/>
      <c r="H51" s="241"/>
      <c r="I51" s="133"/>
    </row>
    <row r="52" spans="1:9" ht="14.25">
      <c r="A52" s="18" t="s">
        <v>168</v>
      </c>
      <c r="B52" s="4"/>
      <c r="C52" s="4"/>
      <c r="D52" s="4"/>
      <c r="E52" s="4"/>
      <c r="F52" s="4"/>
      <c r="G52" s="3"/>
    </row>
    <row r="53" spans="1:9" ht="15" customHeight="1">
      <c r="A53" s="239" t="s">
        <v>148</v>
      </c>
      <c r="B53" s="239"/>
      <c r="C53" s="239"/>
      <c r="D53" s="49">
        <f>INDEX(F95:G102,MATCH(A53,B95:B102,0),MATCH(H4,F94:G94,0))</f>
        <v>0</v>
      </c>
      <c r="E53" s="4"/>
      <c r="F53" s="4"/>
      <c r="G53" s="3"/>
    </row>
    <row r="54" spans="1:9" ht="15" customHeight="1">
      <c r="A54" s="240" t="s">
        <v>186</v>
      </c>
      <c r="B54" s="240"/>
      <c r="C54" s="240"/>
      <c r="D54" s="233"/>
      <c r="E54" s="4"/>
      <c r="F54" s="4"/>
      <c r="G54" s="3"/>
    </row>
    <row r="55" spans="1:9" ht="15" customHeight="1">
      <c r="A55" s="4"/>
      <c r="B55" s="4"/>
      <c r="C55" s="4"/>
      <c r="D55" s="49">
        <f>IF(D54="",D53,D54)</f>
        <v>0</v>
      </c>
      <c r="E55" s="4"/>
      <c r="F55" s="4"/>
      <c r="G55" s="3"/>
    </row>
    <row r="56" spans="1:9" ht="15" customHeight="1">
      <c r="A56" s="18" t="s">
        <v>169</v>
      </c>
      <c r="B56" s="4"/>
      <c r="C56" s="4"/>
      <c r="D56" s="50"/>
      <c r="E56" s="4"/>
      <c r="F56" s="4"/>
      <c r="G56" s="3"/>
    </row>
    <row r="57" spans="1:9" ht="15" customHeight="1">
      <c r="A57" s="239" t="s">
        <v>148</v>
      </c>
      <c r="B57" s="239"/>
      <c r="C57" s="239"/>
      <c r="D57" s="49">
        <f>INDEX(F106:G110,MATCH(A57,B106:B110,0),MATCH(H4,F105:G105,0))</f>
        <v>0</v>
      </c>
      <c r="E57" s="4"/>
      <c r="F57" s="4"/>
      <c r="G57" s="3"/>
    </row>
    <row r="58" spans="1:9" ht="15" customHeight="1">
      <c r="A58" s="240" t="s">
        <v>186</v>
      </c>
      <c r="B58" s="240"/>
      <c r="C58" s="240"/>
      <c r="D58" s="234"/>
      <c r="E58" s="4"/>
      <c r="F58" s="4"/>
      <c r="G58" s="3"/>
    </row>
    <row r="59" spans="1:9" ht="15" customHeight="1">
      <c r="A59" s="4"/>
      <c r="B59" s="4"/>
      <c r="C59" s="4"/>
      <c r="D59" s="49">
        <f>IF(D58="",D57,D58)</f>
        <v>0</v>
      </c>
      <c r="E59" s="4"/>
      <c r="F59" s="4"/>
      <c r="G59" s="3"/>
    </row>
    <row r="60" spans="1:9" ht="15" customHeight="1">
      <c r="A60" s="18" t="s">
        <v>160</v>
      </c>
      <c r="B60" s="4"/>
      <c r="C60" s="4"/>
      <c r="D60" s="50"/>
      <c r="E60" s="4"/>
      <c r="F60" s="4"/>
      <c r="G60" s="3"/>
    </row>
    <row r="61" spans="1:9" ht="15" customHeight="1">
      <c r="A61" s="239" t="s">
        <v>148</v>
      </c>
      <c r="B61" s="239"/>
      <c r="C61" s="239"/>
      <c r="D61" s="49">
        <f>INDEX(F114:G115,MATCH(A61,B114:B115,0),MATCH(H4,F113:G113,0))</f>
        <v>0</v>
      </c>
      <c r="E61" s="4"/>
      <c r="F61" s="4"/>
      <c r="G61" s="3"/>
    </row>
    <row r="62" spans="1:9" ht="15" customHeight="1">
      <c r="A62" s="240" t="s">
        <v>186</v>
      </c>
      <c r="B62" s="240"/>
      <c r="C62" s="240"/>
      <c r="D62" s="234"/>
      <c r="E62" s="4"/>
      <c r="F62" s="4"/>
      <c r="G62" s="3"/>
    </row>
    <row r="63" spans="1:9" ht="15" customHeight="1">
      <c r="A63" s="4"/>
      <c r="B63" s="4"/>
      <c r="C63" s="4"/>
      <c r="D63" s="49">
        <f>IF(D62="",D61,D62)</f>
        <v>0</v>
      </c>
      <c r="E63" s="4"/>
      <c r="F63" s="4"/>
      <c r="G63" s="3"/>
    </row>
    <row r="64" spans="1:9" ht="15" customHeight="1">
      <c r="A64" s="18" t="s">
        <v>161</v>
      </c>
      <c r="B64" s="4"/>
      <c r="C64" s="4"/>
      <c r="D64" s="50"/>
      <c r="E64" s="4"/>
      <c r="F64" s="4"/>
      <c r="G64" s="3"/>
    </row>
    <row r="65" spans="1:7" ht="15" customHeight="1">
      <c r="A65" s="239" t="s">
        <v>148</v>
      </c>
      <c r="B65" s="239"/>
      <c r="C65" s="239"/>
      <c r="D65" s="29">
        <f>IF(H4="D",0,E126)</f>
        <v>0</v>
      </c>
      <c r="E65" s="4"/>
      <c r="F65" s="4"/>
      <c r="G65" s="3"/>
    </row>
    <row r="66" spans="1:7" ht="15" customHeight="1">
      <c r="A66" s="240" t="s">
        <v>186</v>
      </c>
      <c r="B66" s="240"/>
      <c r="C66" s="240"/>
      <c r="D66" s="235"/>
      <c r="E66" s="4"/>
      <c r="F66" s="4"/>
      <c r="G66" s="3"/>
    </row>
    <row r="67" spans="1:7" ht="15" customHeight="1">
      <c r="A67" s="4"/>
      <c r="B67" s="4"/>
      <c r="C67" s="4"/>
      <c r="D67" s="29">
        <f>IF(D66="",D65,D66)</f>
        <v>0</v>
      </c>
      <c r="E67" s="4"/>
      <c r="F67" s="4"/>
      <c r="G67" s="3"/>
    </row>
    <row r="68" spans="1:7" ht="15" customHeight="1">
      <c r="A68" s="4"/>
      <c r="B68" s="4"/>
      <c r="C68" s="4"/>
      <c r="D68" s="4"/>
      <c r="E68" s="4"/>
      <c r="F68" s="4"/>
      <c r="G68" s="3"/>
    </row>
    <row r="69" spans="1:7">
      <c r="A69" s="4"/>
      <c r="B69" s="4"/>
      <c r="C69" s="4"/>
      <c r="D69" s="4"/>
    </row>
    <row r="70" spans="1:7">
      <c r="A70" s="4"/>
      <c r="B70" s="4"/>
      <c r="C70" s="4"/>
      <c r="D70" s="4"/>
    </row>
    <row r="71" spans="1:7">
      <c r="A71" s="4"/>
      <c r="B71" s="4"/>
      <c r="C71" s="4"/>
      <c r="D71" s="4"/>
    </row>
    <row r="72" spans="1:7">
      <c r="A72" s="4"/>
      <c r="B72" s="4"/>
      <c r="C72" s="4"/>
      <c r="D72" s="4"/>
    </row>
    <row r="73" spans="1:7">
      <c r="A73" s="4"/>
      <c r="B73" s="4"/>
      <c r="C73" s="4"/>
      <c r="D73" s="4"/>
    </row>
    <row r="74" spans="1:7">
      <c r="A74" s="4"/>
      <c r="B74" s="4"/>
      <c r="C74" s="4"/>
      <c r="D74" s="4"/>
    </row>
    <row r="75" spans="1:7">
      <c r="A75" s="4"/>
      <c r="B75" s="4"/>
      <c r="C75" s="4"/>
      <c r="D75" s="4"/>
    </row>
    <row r="76" spans="1:7">
      <c r="A76" s="4"/>
      <c r="B76" s="4"/>
      <c r="C76" s="4"/>
      <c r="D76" s="4"/>
    </row>
    <row r="77" spans="1:7">
      <c r="A77" s="4"/>
      <c r="B77" s="4"/>
      <c r="C77" s="4"/>
      <c r="D77" s="4"/>
    </row>
    <row r="81" spans="2:7" ht="87.95" hidden="1" customHeight="1"/>
    <row r="82" spans="2:7" ht="31.5" hidden="1" customHeight="1"/>
    <row r="83" spans="2:7" ht="33" hidden="1" customHeight="1">
      <c r="B83" s="258" t="s">
        <v>136</v>
      </c>
      <c r="C83" s="258"/>
      <c r="D83" s="258"/>
      <c r="E83" s="258"/>
      <c r="F83" s="258"/>
      <c r="G83" s="258"/>
    </row>
    <row r="84" spans="2:7" hidden="1">
      <c r="B84" s="265" t="s">
        <v>15</v>
      </c>
      <c r="C84" s="19" t="s">
        <v>291</v>
      </c>
      <c r="D84" s="20"/>
      <c r="E84" s="20"/>
      <c r="F84" s="20"/>
      <c r="G84" s="58"/>
    </row>
    <row r="85" spans="2:7" ht="48.95" hidden="1" customHeight="1">
      <c r="B85" s="265"/>
      <c r="C85" s="20" t="s">
        <v>9</v>
      </c>
      <c r="D85" s="20" t="s">
        <v>16</v>
      </c>
      <c r="E85" s="20" t="s">
        <v>17</v>
      </c>
      <c r="F85" s="20" t="s">
        <v>18</v>
      </c>
      <c r="G85" s="58" t="s">
        <v>19</v>
      </c>
    </row>
    <row r="86" spans="2:7" ht="47.1" hidden="1" customHeight="1">
      <c r="B86" s="21" t="s">
        <v>21</v>
      </c>
      <c r="C86" s="20">
        <v>0.10516</v>
      </c>
      <c r="D86" s="20">
        <v>0.12934000000000001</v>
      </c>
      <c r="E86" s="20">
        <v>7.6649999999999996E-2</v>
      </c>
      <c r="F86" s="20">
        <v>0.20211000000000001</v>
      </c>
      <c r="G86" s="58">
        <v>0.13325000000000001</v>
      </c>
    </row>
    <row r="87" spans="2:7" ht="45" hidden="1" customHeight="1">
      <c r="B87" s="21" t="s">
        <v>112</v>
      </c>
      <c r="C87" s="20">
        <v>1.46289</v>
      </c>
      <c r="D87" s="20">
        <v>1.5203100000000001</v>
      </c>
      <c r="E87" s="20">
        <v>1.0559400000000001</v>
      </c>
      <c r="F87" s="20">
        <v>1.9132899999999999</v>
      </c>
      <c r="G87" s="58">
        <v>1.5860700000000001</v>
      </c>
    </row>
    <row r="88" spans="2:7" ht="41.1" hidden="1" customHeight="1">
      <c r="B88" s="21" t="s">
        <v>11</v>
      </c>
      <c r="C88" s="20">
        <v>4.6999999999999999E-4</v>
      </c>
      <c r="D88" s="20">
        <v>5.4000000000000001E-4</v>
      </c>
      <c r="E88" s="20">
        <v>4.2000000000000002E-4</v>
      </c>
      <c r="F88" s="20">
        <v>5.1999999999999995E-4</v>
      </c>
      <c r="G88" s="58">
        <v>4.8999999999999998E-4</v>
      </c>
    </row>
    <row r="89" spans="2:7" ht="42.95" hidden="1" customHeight="1">
      <c r="B89" s="21" t="s">
        <v>20</v>
      </c>
      <c r="C89" s="20">
        <v>3.124E-2</v>
      </c>
      <c r="D89" s="20">
        <v>1.9529999999999999E-2</v>
      </c>
      <c r="E89" s="20">
        <v>1.6140000000000002E-2</v>
      </c>
      <c r="F89" s="20">
        <v>3.499E-2</v>
      </c>
      <c r="G89" s="58">
        <v>2.3060000000000001E-2</v>
      </c>
    </row>
    <row r="90" spans="2:7" ht="51.95" hidden="1" customHeight="1"/>
    <row r="91" spans="2:7" ht="55.5" hidden="1" customHeight="1"/>
    <row r="92" spans="2:7" ht="65.45" hidden="1" customHeight="1">
      <c r="B92" s="258" t="s">
        <v>158</v>
      </c>
      <c r="C92" s="258"/>
      <c r="D92" s="258"/>
      <c r="E92" s="258"/>
      <c r="F92" s="258"/>
      <c r="G92" s="258"/>
    </row>
    <row r="93" spans="2:7" ht="51.95" hidden="1" customHeight="1">
      <c r="B93" s="256" t="s">
        <v>138</v>
      </c>
      <c r="C93" s="256"/>
      <c r="D93" s="256"/>
      <c r="E93" s="256"/>
      <c r="F93" s="22" t="s">
        <v>154</v>
      </c>
      <c r="G93" s="59"/>
    </row>
    <row r="94" spans="2:7" ht="54.95" hidden="1" customHeight="1">
      <c r="B94" s="257" t="s">
        <v>156</v>
      </c>
      <c r="C94" s="257"/>
      <c r="D94" s="257"/>
      <c r="E94" s="257"/>
      <c r="F94" s="23" t="s">
        <v>153</v>
      </c>
      <c r="G94" s="9" t="s">
        <v>155</v>
      </c>
    </row>
    <row r="95" spans="2:7" ht="41.45" hidden="1" customHeight="1">
      <c r="B95" s="25" t="s">
        <v>148</v>
      </c>
      <c r="C95" s="26"/>
      <c r="D95" s="26"/>
      <c r="E95" s="27"/>
      <c r="F95" s="28">
        <v>0</v>
      </c>
      <c r="G95" s="60">
        <v>0</v>
      </c>
    </row>
    <row r="96" spans="2:7" ht="51.6" hidden="1" customHeight="1">
      <c r="B96" s="25" t="s">
        <v>139</v>
      </c>
      <c r="C96" s="26"/>
      <c r="D96" s="26"/>
      <c r="E96" s="27"/>
      <c r="F96" s="30">
        <f>AVERAGE(0,24)</f>
        <v>12</v>
      </c>
      <c r="G96" s="61">
        <f>AVERAGE(0,28)</f>
        <v>14</v>
      </c>
    </row>
    <row r="97" spans="2:7" ht="54.95" hidden="1" customHeight="1">
      <c r="B97" s="25" t="s">
        <v>141</v>
      </c>
      <c r="C97" s="26"/>
      <c r="D97" s="26"/>
      <c r="E97" s="27"/>
      <c r="F97" s="30">
        <f>AVERAGE(20,50)</f>
        <v>35</v>
      </c>
      <c r="G97" s="61">
        <f>AVERAGE(20,50)</f>
        <v>35</v>
      </c>
    </row>
    <row r="98" spans="2:7" ht="45.6" hidden="1" customHeight="1">
      <c r="B98" s="25" t="s">
        <v>140</v>
      </c>
      <c r="C98" s="26"/>
      <c r="D98" s="26"/>
      <c r="E98" s="27"/>
      <c r="F98" s="30">
        <f>AVERAGE(17,44)</f>
        <v>30.5</v>
      </c>
      <c r="G98" s="61">
        <f>AVERAGE(20,50)</f>
        <v>35</v>
      </c>
    </row>
    <row r="99" spans="2:7" ht="42.6" hidden="1" customHeight="1">
      <c r="B99" s="25" t="s">
        <v>143</v>
      </c>
      <c r="C99" s="26"/>
      <c r="D99" s="26"/>
      <c r="E99" s="27"/>
      <c r="F99" s="31">
        <f>AVERAGE(58,73)</f>
        <v>65.5</v>
      </c>
      <c r="G99" s="61">
        <f>AVERAGE(15,30)</f>
        <v>22.5</v>
      </c>
    </row>
    <row r="100" spans="2:7" ht="32.450000000000003" hidden="1" customHeight="1">
      <c r="B100" s="25" t="s">
        <v>236</v>
      </c>
      <c r="C100" s="26"/>
      <c r="D100" s="26"/>
      <c r="E100" s="27"/>
      <c r="F100" s="31">
        <f>AVERAGE(73,77)</f>
        <v>75</v>
      </c>
      <c r="G100" s="61">
        <f>AVERAGE(25,53)</f>
        <v>39</v>
      </c>
    </row>
    <row r="101" spans="2:7" ht="45" hidden="1" customHeight="1">
      <c r="B101" s="25" t="s">
        <v>142</v>
      </c>
      <c r="C101" s="26"/>
      <c r="D101" s="26"/>
      <c r="E101" s="27"/>
      <c r="F101" s="31">
        <f>AVERAGE(40,70)</f>
        <v>55</v>
      </c>
      <c r="G101" s="61">
        <f>AVERAGE(40,70)</f>
        <v>55</v>
      </c>
    </row>
    <row r="102" spans="2:7" ht="27" hidden="1" customHeight="1">
      <c r="B102" s="32" t="s">
        <v>149</v>
      </c>
      <c r="C102" s="33"/>
      <c r="D102" s="33"/>
      <c r="E102" s="34"/>
      <c r="F102" s="30">
        <v>0</v>
      </c>
      <c r="G102" s="61">
        <f>AVERAGE(41,41)</f>
        <v>41</v>
      </c>
    </row>
    <row r="103" spans="2:7" ht="30.6" hidden="1" customHeight="1">
      <c r="B103" s="35"/>
      <c r="C103" s="35"/>
      <c r="D103" s="35"/>
      <c r="E103" s="35"/>
      <c r="F103" s="36"/>
      <c r="G103" s="62"/>
    </row>
    <row r="104" spans="2:7" ht="12.6" hidden="1" customHeight="1">
      <c r="B104" s="256" t="s">
        <v>144</v>
      </c>
      <c r="C104" s="256"/>
      <c r="D104" s="256"/>
      <c r="E104" s="256"/>
      <c r="F104" s="22" t="s">
        <v>154</v>
      </c>
      <c r="G104" s="59"/>
    </row>
    <row r="105" spans="2:7" ht="31.5" hidden="1" customHeight="1">
      <c r="B105" s="257" t="s">
        <v>156</v>
      </c>
      <c r="C105" s="257"/>
      <c r="D105" s="257"/>
      <c r="E105" s="257"/>
      <c r="F105" s="23" t="s">
        <v>153</v>
      </c>
      <c r="G105" s="9" t="s">
        <v>155</v>
      </c>
    </row>
    <row r="106" spans="2:7" ht="21.6" hidden="1" customHeight="1">
      <c r="B106" s="32" t="s">
        <v>148</v>
      </c>
      <c r="C106" s="33"/>
      <c r="D106" s="33"/>
      <c r="E106" s="34"/>
      <c r="F106" s="28">
        <v>0</v>
      </c>
      <c r="G106" s="60">
        <v>0</v>
      </c>
    </row>
    <row r="107" spans="2:7" ht="28.5" hidden="1" customHeight="1">
      <c r="B107" s="32" t="s">
        <v>146</v>
      </c>
      <c r="C107" s="33"/>
      <c r="D107" s="33"/>
      <c r="E107" s="34"/>
      <c r="F107" s="30">
        <f>AVERAGE(70,90)</f>
        <v>80</v>
      </c>
      <c r="G107" s="61">
        <f>AVERAGE(70,90)</f>
        <v>80</v>
      </c>
    </row>
    <row r="108" spans="2:7" ht="32.450000000000003" hidden="1" customHeight="1">
      <c r="B108" s="32" t="s">
        <v>145</v>
      </c>
      <c r="C108" s="33"/>
      <c r="D108" s="33"/>
      <c r="E108" s="34"/>
      <c r="F108" s="30">
        <f>AVERAGE(25,50)</f>
        <v>37.5</v>
      </c>
      <c r="G108" s="61">
        <f>AVERAGE(25,50)</f>
        <v>37.5</v>
      </c>
    </row>
    <row r="109" spans="2:7" ht="9.9499999999999993" hidden="1" customHeight="1">
      <c r="B109" s="32" t="s">
        <v>147</v>
      </c>
      <c r="C109" s="33"/>
      <c r="D109" s="33"/>
      <c r="E109" s="34"/>
      <c r="F109" s="37">
        <f>AVERAGE(90,96)</f>
        <v>93</v>
      </c>
      <c r="G109" s="61">
        <f>AVERAGE(90,96)</f>
        <v>93</v>
      </c>
    </row>
    <row r="110" spans="2:7" ht="60.6" hidden="1" customHeight="1">
      <c r="B110" s="38" t="s">
        <v>159</v>
      </c>
      <c r="C110" s="38"/>
      <c r="D110" s="38"/>
      <c r="E110" s="38"/>
      <c r="F110" s="30">
        <f>AVERAGE(80,98)</f>
        <v>89</v>
      </c>
      <c r="G110" s="61">
        <f>AVERAGE(80,98)</f>
        <v>89</v>
      </c>
    </row>
    <row r="111" spans="2:7" ht="57.6" hidden="1" customHeight="1"/>
    <row r="112" spans="2:7" ht="42.6" hidden="1" customHeight="1">
      <c r="B112" s="256" t="s">
        <v>52</v>
      </c>
      <c r="C112" s="256"/>
      <c r="D112" s="256"/>
      <c r="E112" s="256"/>
      <c r="F112" s="22" t="s">
        <v>154</v>
      </c>
      <c r="G112" s="59"/>
    </row>
    <row r="113" spans="2:7" ht="53.1" hidden="1" customHeight="1">
      <c r="B113" s="257" t="s">
        <v>156</v>
      </c>
      <c r="C113" s="257"/>
      <c r="D113" s="257"/>
      <c r="E113" s="257"/>
      <c r="F113" s="24" t="s">
        <v>153</v>
      </c>
      <c r="G113" s="9" t="s">
        <v>155</v>
      </c>
    </row>
    <row r="114" spans="2:7" ht="45" hidden="1" customHeight="1">
      <c r="B114" s="32" t="s">
        <v>148</v>
      </c>
      <c r="C114" s="33"/>
      <c r="D114" s="33"/>
      <c r="E114" s="34"/>
      <c r="F114" s="28">
        <v>0</v>
      </c>
      <c r="G114" s="60">
        <v>0</v>
      </c>
    </row>
    <row r="115" spans="2:7" ht="39.950000000000003" hidden="1" customHeight="1">
      <c r="B115" s="32" t="s">
        <v>149</v>
      </c>
      <c r="C115" s="33"/>
      <c r="D115" s="33"/>
      <c r="E115" s="34"/>
      <c r="F115" s="28">
        <v>0</v>
      </c>
      <c r="G115" s="60">
        <v>33</v>
      </c>
    </row>
    <row r="116" spans="2:7" ht="45" hidden="1" customHeight="1">
      <c r="B116" s="35"/>
      <c r="C116" s="35"/>
      <c r="D116" s="35"/>
      <c r="E116" s="35"/>
      <c r="G116" s="3"/>
    </row>
    <row r="117" spans="2:7" ht="51.6" hidden="1" customHeight="1">
      <c r="B117" s="35"/>
      <c r="C117" s="35"/>
      <c r="D117" s="35"/>
      <c r="E117" s="35"/>
      <c r="G117" s="3"/>
    </row>
    <row r="118" spans="2:7" ht="48" hidden="1" customHeight="1">
      <c r="B118" s="262" t="s">
        <v>152</v>
      </c>
      <c r="C118" s="263"/>
      <c r="D118" s="264"/>
      <c r="E118" s="260" t="s">
        <v>162</v>
      </c>
      <c r="F118" s="261"/>
      <c r="G118" s="261"/>
    </row>
    <row r="119" spans="2:7" ht="46.5" hidden="1" customHeight="1">
      <c r="B119" s="253" t="s">
        <v>156</v>
      </c>
      <c r="C119" s="254"/>
      <c r="D119" s="255"/>
      <c r="E119" s="24" t="s">
        <v>117</v>
      </c>
      <c r="F119" s="24" t="s">
        <v>118</v>
      </c>
      <c r="G119" s="9" t="s">
        <v>119</v>
      </c>
    </row>
    <row r="120" spans="2:7" ht="43.5" hidden="1" customHeight="1">
      <c r="B120" s="32" t="s">
        <v>148</v>
      </c>
      <c r="C120" s="33"/>
      <c r="D120" s="33"/>
      <c r="E120" s="29">
        <v>0</v>
      </c>
      <c r="F120" s="29">
        <v>0</v>
      </c>
      <c r="G120" s="63">
        <v>0</v>
      </c>
    </row>
    <row r="121" spans="2:7" ht="51.6" hidden="1" customHeight="1">
      <c r="B121" s="32" t="s">
        <v>151</v>
      </c>
      <c r="C121" s="33"/>
      <c r="D121" s="33"/>
      <c r="E121" s="29">
        <v>0</v>
      </c>
      <c r="F121" s="29">
        <v>0</v>
      </c>
      <c r="G121" s="63">
        <v>94</v>
      </c>
    </row>
    <row r="122" spans="2:7" ht="44.45" hidden="1" customHeight="1">
      <c r="B122" s="32" t="s">
        <v>157</v>
      </c>
      <c r="C122" s="33"/>
      <c r="D122" s="33"/>
      <c r="E122" s="29">
        <v>80</v>
      </c>
      <c r="F122" s="29">
        <v>0</v>
      </c>
      <c r="G122" s="63">
        <v>0</v>
      </c>
    </row>
    <row r="123" spans="2:7" ht="34.5" hidden="1" customHeight="1">
      <c r="B123" s="32" t="s">
        <v>149</v>
      </c>
      <c r="C123" s="33"/>
      <c r="D123" s="33"/>
      <c r="E123" s="29">
        <v>45</v>
      </c>
      <c r="F123" s="29">
        <v>45</v>
      </c>
      <c r="G123" s="63">
        <v>45</v>
      </c>
    </row>
    <row r="124" spans="2:7" ht="35.1" hidden="1" customHeight="1">
      <c r="B124" s="32" t="s">
        <v>150</v>
      </c>
      <c r="C124" s="33"/>
      <c r="D124" s="33"/>
      <c r="E124" s="29">
        <v>0</v>
      </c>
      <c r="F124" s="29">
        <v>0</v>
      </c>
      <c r="G124" s="60">
        <v>99.2</v>
      </c>
    </row>
    <row r="125" spans="2:7" ht="24" hidden="1" customHeight="1"/>
    <row r="126" spans="2:7" ht="28.5" hidden="1" customHeight="1">
      <c r="B126" s="39" t="s">
        <v>163</v>
      </c>
      <c r="C126" s="39"/>
      <c r="D126" s="39"/>
      <c r="E126" s="40">
        <f>INDEX(E120:G124,MATCH(A65,B120:B124,0),MATCH(H37,E119:G119,0))</f>
        <v>0</v>
      </c>
    </row>
  </sheetData>
  <sheetProtection password="CA53" sheet="1" objects="1" scenarios="1"/>
  <mergeCells count="39">
    <mergeCell ref="B92:G92"/>
    <mergeCell ref="B94:E94"/>
    <mergeCell ref="B105:E105"/>
    <mergeCell ref="A10:F11"/>
    <mergeCell ref="E118:G118"/>
    <mergeCell ref="B118:D118"/>
    <mergeCell ref="B84:B85"/>
    <mergeCell ref="A37:B37"/>
    <mergeCell ref="C37:F37"/>
    <mergeCell ref="B83:G83"/>
    <mergeCell ref="A53:C53"/>
    <mergeCell ref="A54:C54"/>
    <mergeCell ref="A57:C57"/>
    <mergeCell ref="A58:C58"/>
    <mergeCell ref="A61:C61"/>
    <mergeCell ref="A62:C62"/>
    <mergeCell ref="B119:D119"/>
    <mergeCell ref="B93:E93"/>
    <mergeCell ref="B104:E104"/>
    <mergeCell ref="B112:E112"/>
    <mergeCell ref="B113:E113"/>
    <mergeCell ref="A4:B4"/>
    <mergeCell ref="C4:F4"/>
    <mergeCell ref="A5:C6"/>
    <mergeCell ref="A7:B7"/>
    <mergeCell ref="C7:F7"/>
    <mergeCell ref="A65:C65"/>
    <mergeCell ref="A66:C66"/>
    <mergeCell ref="A50:I50"/>
    <mergeCell ref="A40:G41"/>
    <mergeCell ref="A13:B13"/>
    <mergeCell ref="A14:B14"/>
    <mergeCell ref="A15:B15"/>
    <mergeCell ref="A16:B16"/>
    <mergeCell ref="B42:C42"/>
    <mergeCell ref="B43:C43"/>
    <mergeCell ref="A46:C46"/>
    <mergeCell ref="A47:C47"/>
    <mergeCell ref="A51:H51"/>
  </mergeCells>
  <conditionalFormatting sqref="A5:F7">
    <cfRule type="expression" dxfId="6" priority="2">
      <formula>$H$4="D"</formula>
    </cfRule>
  </conditionalFormatting>
  <conditionalFormatting sqref="A9:F16">
    <cfRule type="expression" dxfId="5" priority="1">
      <formula>$H$4="R"</formula>
    </cfRule>
  </conditionalFormatting>
  <dataValidations count="11">
    <dataValidation allowBlank="1" showInputMessage="1" showErrorMessage="1" sqref="A42"/>
    <dataValidation type="list" allowBlank="1" showInputMessage="1" showErrorMessage="1" sqref="B42">
      <formula1>$C$85:$G$85</formula1>
    </dataValidation>
    <dataValidation type="list" allowBlank="1" showInputMessage="1" showErrorMessage="1" sqref="B43">
      <formula1>$B$86:$B$89</formula1>
    </dataValidation>
    <dataValidation type="list" allowBlank="1" showInputMessage="1" showErrorMessage="1" sqref="C44">
      <formula1>#REF!</formula1>
    </dataValidation>
    <dataValidation type="list" allowBlank="1" showInputMessage="1" showErrorMessage="1" sqref="C37:F37">
      <formula1>"Industrial,Commercial/Institutional/Residential,Utility"</formula1>
    </dataValidation>
    <dataValidation type="list" allowBlank="1" showInputMessage="1" showErrorMessage="1" sqref="C4:F4">
      <formula1>"Distillate,Residual"</formula1>
    </dataValidation>
    <dataValidation type="list" allowBlank="1" showInputMessage="1" showErrorMessage="1" sqref="C7:F7">
      <formula1>"No.6 Oil,No.5 Oil,No.4 Oil"</formula1>
    </dataValidation>
    <dataValidation type="list" allowBlank="1" showInputMessage="1" showErrorMessage="1" sqref="A53:C53">
      <formula1>$B$95:$B$102</formula1>
    </dataValidation>
    <dataValidation type="list" allowBlank="1" showInputMessage="1" showErrorMessage="1" sqref="A57:C57">
      <formula1>$B$106:$B$110</formula1>
    </dataValidation>
    <dataValidation type="list" allowBlank="1" showInputMessage="1" showErrorMessage="1" sqref="A61:C61">
      <formula1>$B$114:$B$115</formula1>
    </dataValidation>
    <dataValidation type="list" allowBlank="1" showInputMessage="1" showErrorMessage="1" sqref="A65:C65">
      <formula1>$B$120:$B$124</formula1>
    </dataValidation>
  </dataValidations>
  <pageMargins left="0.70866141732283472" right="0.70866141732283472" top="0.74803149606299213" bottom="0.74803149606299213" header="0.31496062992125984" footer="0.31496062992125984"/>
  <pageSetup scale="80" orientation="portrait" r:id="rId1"/>
  <rowBreaks count="1" manualBreakCount="1">
    <brk id="4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4"/>
  <sheetViews>
    <sheetView zoomScale="115" zoomScaleNormal="115" workbookViewId="0"/>
  </sheetViews>
  <sheetFormatPr defaultColWidth="9.5703125" defaultRowHeight="12.75"/>
  <cols>
    <col min="1" max="1" width="55" style="64" customWidth="1"/>
    <col min="2" max="2" width="13" style="64" customWidth="1"/>
    <col min="3" max="3" width="18.7109375" style="64" customWidth="1"/>
    <col min="4" max="4" width="9.7109375" style="64" customWidth="1"/>
    <col min="5" max="5" width="18.5703125" style="64" bestFit="1" customWidth="1"/>
    <col min="6" max="6" width="26.28515625" style="64" customWidth="1"/>
    <col min="7" max="7" width="19.85546875" style="64" customWidth="1"/>
    <col min="8" max="8" width="8.7109375" style="64" customWidth="1"/>
    <col min="9" max="10" width="9.5703125" style="64"/>
    <col min="11" max="11" width="10" style="64" bestFit="1" customWidth="1"/>
    <col min="12" max="16384" width="9.5703125" style="64"/>
  </cols>
  <sheetData>
    <row r="1" spans="1:11" ht="15" customHeight="1">
      <c r="A1" s="106" t="s">
        <v>198</v>
      </c>
      <c r="H1" s="70"/>
    </row>
    <row r="2" spans="1:11">
      <c r="H2" s="70"/>
    </row>
    <row r="3" spans="1:11" ht="15" customHeight="1">
      <c r="A3" s="109" t="s">
        <v>199</v>
      </c>
      <c r="B3" s="72" t="s">
        <v>294</v>
      </c>
      <c r="C3" s="72" t="s">
        <v>278</v>
      </c>
      <c r="D3" s="72" t="s">
        <v>279</v>
      </c>
      <c r="E3" s="72" t="s">
        <v>201</v>
      </c>
      <c r="F3" s="72" t="s">
        <v>202</v>
      </c>
      <c r="G3" s="72" t="s">
        <v>210</v>
      </c>
      <c r="H3" s="72" t="s">
        <v>203</v>
      </c>
    </row>
    <row r="4" spans="1:11" ht="15" customHeight="1">
      <c r="A4" s="67" t="s">
        <v>64</v>
      </c>
      <c r="B4" s="66" t="s">
        <v>65</v>
      </c>
      <c r="C4" s="73">
        <f>IF('Input Information'!$H$4="R", VLOOKUP(B4,'RESIDUAL MASTER SHEET'!$C$6:$H$45,3,FALSE),IF('Input Information'!$H$4="D",IFERROR(VLOOKUP(B4,'DISTILLATE MASTER SHEET'!$C$6:$H$49,3,FALSE),"For Residual Oil only")))</f>
        <v>7.6209683301430652E-6</v>
      </c>
      <c r="D4" s="81" t="s">
        <v>222</v>
      </c>
      <c r="E4" s="73" t="str">
        <f>IF('Input Information'!$H$4="R", VLOOKUP(B4,'RESIDUAL MASTER SHEET'!$C$6:$H$45,4,FALSE),IF('Input Information'!$H$4="D",IFERROR(VLOOKUP(B4,'DISTILLATE MASTER SHEET'!$C$6:$H$49,4,FALSE),"For Residual Oil only")))</f>
        <v>E</v>
      </c>
      <c r="F4" s="75">
        <f>'Input Information'!$B$33</f>
        <v>0</v>
      </c>
      <c r="G4" s="76">
        <f>IF('Input Information'!$H$4="R", VLOOKUP(B4,'RESIDUAL MASTER SHEET'!$C$6:$H$45,6,FALSE)/1000,IF('Input Information'!$H$4="D",IFERROR(VLOOKUP(B4,'DISTILLATE MASTER SHEET'!$C$6:$H$49,6,FALSE)/1000,"For Residual Oil only")))</f>
        <v>0</v>
      </c>
      <c r="H4" s="74" t="s">
        <v>224</v>
      </c>
      <c r="K4" s="80"/>
    </row>
    <row r="5" spans="1:11" ht="15" customHeight="1">
      <c r="A5" s="67" t="s">
        <v>75</v>
      </c>
      <c r="B5" s="66" t="s">
        <v>76</v>
      </c>
      <c r="C5" s="73">
        <f>IF('Input Information'!$H$4="R", VLOOKUP(B5,'RESIDUAL MASTER SHEET'!$C$6:$H$45,3,FALSE),IF('Input Information'!$H$4="D",IFERROR(VLOOKUP(B5,'DISTILLATE MASTER SHEET'!$C$6:$H$49,3,FALSE),"For Residual Oil only")))</f>
        <v>7.4292458564287735E-4</v>
      </c>
      <c r="D5" s="81" t="s">
        <v>222</v>
      </c>
      <c r="E5" s="73" t="str">
        <f>IF('Input Information'!$H$4="R", VLOOKUP(B5,'RESIDUAL MASTER SHEET'!$C$6:$H$45,4,FALSE),IF('Input Information'!$H$4="D",IFERROR(VLOOKUP(B5,'DISTILLATE MASTER SHEET'!$C$6:$H$49,4,FALSE),"For Residual Oil only")))</f>
        <v>D</v>
      </c>
      <c r="F5" s="75">
        <f>'Input Information'!$B$33</f>
        <v>0</v>
      </c>
      <c r="G5" s="76">
        <f>IF('Input Information'!$H$4="R", VLOOKUP(B5,'RESIDUAL MASTER SHEET'!$C$6:$H$45,6,FALSE)/1000,IF('Input Information'!$H$4="D",IFERROR(VLOOKUP(B5,'DISTILLATE MASTER SHEET'!$C$6:$H$49,6,FALSE)/1000,"For Residual Oil only")))</f>
        <v>0</v>
      </c>
      <c r="H5" s="74" t="s">
        <v>224</v>
      </c>
    </row>
    <row r="6" spans="1:11" ht="15" customHeight="1">
      <c r="A6" s="67" t="s">
        <v>92</v>
      </c>
      <c r="B6" s="66" t="s">
        <v>77</v>
      </c>
      <c r="C6" s="73">
        <f>IF('Input Information'!$H$4="R", VLOOKUP(B6,'RESIDUAL MASTER SHEET'!$C$6:$H$45,3,FALSE),IF('Input Information'!$H$4="D",IFERROR(VLOOKUP(B6,'DISTILLATE MASTER SHEET'!$C$6:$H$49,3,FALSE),"For Residual Oil only")))</f>
        <v>1.3061093521786072E-5</v>
      </c>
      <c r="D6" s="81" t="s">
        <v>223</v>
      </c>
      <c r="E6" s="73" t="str">
        <f>IF('Input Information'!$H$4="R", VLOOKUP(B6,'RESIDUAL MASTER SHEET'!$C$6:$H$45,4,FALSE),IF('Input Information'!$H$4="D",IFERROR(VLOOKUP(B6,'DISTILLATE MASTER SHEET'!$C$6:$H$49,4,FALSE),"For Residual Oil only")))</f>
        <v>E</v>
      </c>
      <c r="F6" s="75">
        <f>'Input Information'!$B$33</f>
        <v>0</v>
      </c>
      <c r="G6" s="76">
        <f>IF('Input Information'!$H$4="R", VLOOKUP(B6,'RESIDUAL MASTER SHEET'!$C$6:$H$45,6,FALSE)/1000,IF('Input Information'!$H$4="D",IFERROR(VLOOKUP(B6,'DISTILLATE MASTER SHEET'!$C$6:$H$49,6,FALSE)/1000,"For Residual Oil only")))</f>
        <v>0</v>
      </c>
      <c r="H6" s="74" t="s">
        <v>224</v>
      </c>
    </row>
    <row r="7" spans="1:11" ht="15" customHeight="1">
      <c r="A7" s="67" t="s">
        <v>29</v>
      </c>
      <c r="B7" s="66" t="s">
        <v>30</v>
      </c>
      <c r="C7" s="73">
        <f>IF('Input Information'!$H$4="R", VLOOKUP(B7,'RESIDUAL MASTER SHEET'!$C$6:$H$45,3,FALSE),IF('Input Information'!$H$4="D",IFERROR(VLOOKUP(B7,'DISTILLATE MASTER SHEET'!$C$6:$H$49,3,FALSE),"For Residual Oil only")))</f>
        <v>5.7516742114287287E-3</v>
      </c>
      <c r="D7" s="81" t="s">
        <v>223</v>
      </c>
      <c r="E7" s="73" t="str">
        <f>IF('Input Information'!$H$4="R", VLOOKUP(B7,'RESIDUAL MASTER SHEET'!$C$6:$H$45,4,FALSE),IF('Input Information'!$H$4="D",IFERROR(VLOOKUP(B7,'DISTILLATE MASTER SHEET'!$C$6:$H$49,4,FALSE),"For Residual Oil only")))</f>
        <v>E</v>
      </c>
      <c r="F7" s="75">
        <f>'Input Information'!$B$33</f>
        <v>0</v>
      </c>
      <c r="G7" s="76">
        <f>IF('Input Information'!$H$4="R", VLOOKUP(B7,'RESIDUAL MASTER SHEET'!$C$6:$H$45,6,FALSE)/1000,IF('Input Information'!$H$4="D",IFERROR(VLOOKUP(B7,'DISTILLATE MASTER SHEET'!$C$6:$H$49,6,FALSE)/1000,"For Residual Oil only")))</f>
        <v>0</v>
      </c>
      <c r="H7" s="74" t="s">
        <v>224</v>
      </c>
    </row>
    <row r="8" spans="1:11" ht="15" customHeight="1">
      <c r="A8" s="67" t="s">
        <v>26</v>
      </c>
      <c r="B8" s="66" t="s">
        <v>27</v>
      </c>
      <c r="C8" s="73">
        <f>IF('Input Information'!$H$4="R", VLOOKUP(B8,'RESIDUAL MASTER SHEET'!$C$6:$H$45,3,FALSE),IF('Input Information'!$H$4="D",IFERROR(VLOOKUP(B8,'DISTILLATE MASTER SHEET'!$C$6:$H$49,3,FALSE),"For Residual Oil only")))</f>
        <v>2.5642880859286414E-5</v>
      </c>
      <c r="D8" s="81" t="s">
        <v>223</v>
      </c>
      <c r="E8" s="73" t="str">
        <f>IF('Input Information'!$H$4="R", VLOOKUP(B8,'RESIDUAL MASTER SHEET'!$C$6:$H$45,4,FALSE),IF('Input Information'!$H$4="D",IFERROR(VLOOKUP(B8,'DISTILLATE MASTER SHEET'!$C$6:$H$49,4,FALSE),"For Residual Oil only")))</f>
        <v>C</v>
      </c>
      <c r="F8" s="75">
        <f>'Input Information'!$B$33</f>
        <v>0</v>
      </c>
      <c r="G8" s="76">
        <f>IF('Input Information'!$H$4="R", VLOOKUP(B8,'RESIDUAL MASTER SHEET'!$C$6:$H$45,6,FALSE)/1000,IF('Input Information'!$H$4="D",IFERROR(VLOOKUP(B8,'DISTILLATE MASTER SHEET'!$C$6:$H$49,6,FALSE)/1000,"For Residual Oil only")))</f>
        <v>0</v>
      </c>
      <c r="H8" s="74" t="s">
        <v>224</v>
      </c>
    </row>
    <row r="9" spans="1:11" ht="15" customHeight="1">
      <c r="A9" s="67" t="s">
        <v>33</v>
      </c>
      <c r="B9" s="66" t="s">
        <v>34</v>
      </c>
      <c r="C9" s="73">
        <f>IF('Input Information'!$H$4="R", VLOOKUP(B9,'RESIDUAL MASTER SHEET'!$C$6:$H$45,3,FALSE),IF('Input Information'!$H$4="D",IFERROR(VLOOKUP(B9,'DISTILLATE MASTER SHEET'!$C$6:$H$49,3,FALSE),"For Residual Oil only")))</f>
        <v>1.3540399706071796E-4</v>
      </c>
      <c r="D9" s="81" t="s">
        <v>223</v>
      </c>
      <c r="E9" s="73" t="str">
        <f>IF('Input Information'!$H$4="R", VLOOKUP(B9,'RESIDUAL MASTER SHEET'!$C$6:$H$45,4,FALSE),IF('Input Information'!$H$4="D",IFERROR(VLOOKUP(B9,'DISTILLATE MASTER SHEET'!$C$6:$H$49,4,FALSE),"For Residual Oil only")))</f>
        <v>C</v>
      </c>
      <c r="F9" s="75">
        <f>'Input Information'!$B$33</f>
        <v>0</v>
      </c>
      <c r="G9" s="76">
        <f>IF('Input Information'!$H$4="R", VLOOKUP(B9,'RESIDUAL MASTER SHEET'!$C$6:$H$45,6,FALSE)/1000,IF('Input Information'!$H$4="D",IFERROR(VLOOKUP(B9,'DISTILLATE MASTER SHEET'!$C$6:$H$49,6,FALSE)/1000,"For Residual Oil only")))</f>
        <v>0</v>
      </c>
      <c r="H9" s="74" t="s">
        <v>224</v>
      </c>
    </row>
    <row r="10" spans="1:11" ht="15" customHeight="1">
      <c r="A10" s="65" t="s">
        <v>89</v>
      </c>
      <c r="B10" s="66" t="s">
        <v>88</v>
      </c>
      <c r="C10" s="73" t="str">
        <f>IF('Input Information'!$H$4="R", VLOOKUP(B10,'RESIDUAL MASTER SHEET'!$C$6:$H$45,3,FALSE),IF('Input Information'!$H$4="D",IFERROR(VLOOKUP(B10,'DISTILLATE MASTER SHEET'!$C$6:$H$49,3,FALSE),"For Residual Oil only")))</f>
        <v>For Residual Oil only</v>
      </c>
      <c r="D10" s="81" t="s">
        <v>223</v>
      </c>
      <c r="E10" s="73" t="str">
        <f>IF('Input Information'!$H$4="R", VLOOKUP(B10,'RESIDUAL MASTER SHEET'!$C$6:$H$45,4,FALSE),IF('Input Information'!$H$4="D",IFERROR(VLOOKUP(B10,'DISTILLATE MASTER SHEET'!$C$6:$H$49,4,FALSE),"For Residual Oil only")))</f>
        <v>For Residual Oil only</v>
      </c>
      <c r="F10" s="75">
        <f>'Input Information'!$B$33</f>
        <v>0</v>
      </c>
      <c r="G10" s="76" t="str">
        <f>IF('Input Information'!$H$4="R", VLOOKUP(B10,'RESIDUAL MASTER SHEET'!$C$6:$H$45,6,FALSE)/1000,IF('Input Information'!$H$4="D",IFERROR(VLOOKUP(B10,'DISTILLATE MASTER SHEET'!$C$6:$H$49,6,FALSE)/1000,"For Residual Oil only")))</f>
        <v>For Residual Oil only</v>
      </c>
      <c r="H10" s="74" t="s">
        <v>224</v>
      </c>
    </row>
    <row r="11" spans="1:11" ht="15" customHeight="1">
      <c r="A11" s="65" t="s">
        <v>79</v>
      </c>
      <c r="B11" s="66" t="s">
        <v>28</v>
      </c>
      <c r="C11" s="73">
        <f>IF('Input Information'!$H$4="R", VLOOKUP(B11,'RESIDUAL MASTER SHEET'!$C$6:$H$45,3,FALSE),IF('Input Information'!$H$4="D",IFERROR(VLOOKUP(B11,'DISTILLATE MASTER SHEET'!$C$6:$H$49,3,FALSE),"For Residual Oil only")))</f>
        <v>5.030080791990016E-5</v>
      </c>
      <c r="D11" s="81" t="s">
        <v>223</v>
      </c>
      <c r="E11" s="73" t="str">
        <f>IF('Input Information'!$H$4="R", VLOOKUP(B11,'RESIDUAL MASTER SHEET'!$C$6:$H$45,4,FALSE),IF('Input Information'!$H$4="D",IFERROR(VLOOKUP(B11,'DISTILLATE MASTER SHEET'!$C$6:$H$49,4,FALSE),"For Residual Oil only")))</f>
        <v>E</v>
      </c>
      <c r="F11" s="75">
        <f>'Input Information'!$B$33</f>
        <v>0</v>
      </c>
      <c r="G11" s="76">
        <f>IF('Input Information'!$H$4="R", VLOOKUP(B11,'RESIDUAL MASTER SHEET'!$C$6:$H$45,6,FALSE)/1000,IF('Input Information'!$H$4="D",IFERROR(VLOOKUP(B11,'DISTILLATE MASTER SHEET'!$C$6:$H$49,6,FALSE)/1000,"For Residual Oil only")))</f>
        <v>0</v>
      </c>
      <c r="H11" s="74" t="s">
        <v>224</v>
      </c>
    </row>
    <row r="12" spans="1:11" ht="15" customHeight="1">
      <c r="A12" s="65" t="s">
        <v>80</v>
      </c>
      <c r="B12" s="66" t="s">
        <v>81</v>
      </c>
      <c r="C12" s="73">
        <f>IF('Input Information'!$H$4="R", VLOOKUP(B12,'RESIDUAL MASTER SHEET'!$C$6:$H$45,3,FALSE),IF('Input Information'!$H$4="D",IFERROR(VLOOKUP(B12,'DISTILLATE MASTER SHEET'!$C$6:$H$49,3,FALSE),"For Residual Oil only")))</f>
        <v>1.0060161583980032E-4</v>
      </c>
      <c r="D12" s="81" t="s">
        <v>223</v>
      </c>
      <c r="E12" s="73" t="str">
        <f>IF('Input Information'!$H$4="R", VLOOKUP(B12,'RESIDUAL MASTER SHEET'!$C$6:$H$45,4,FALSE),IF('Input Information'!$H$4="D",IFERROR(VLOOKUP(B12,'DISTILLATE MASTER SHEET'!$C$6:$H$49,4,FALSE),"For Residual Oil only")))</f>
        <v>E</v>
      </c>
      <c r="F12" s="75">
        <f>'Input Information'!$B$33</f>
        <v>0</v>
      </c>
      <c r="G12" s="76">
        <f>IF('Input Information'!$H$4="R", VLOOKUP(B12,'RESIDUAL MASTER SHEET'!$C$6:$H$45,6,FALSE)/1000,IF('Input Information'!$H$4="D",IFERROR(VLOOKUP(B12,'DISTILLATE MASTER SHEET'!$C$6:$H$49,6,FALSE)/1000,"For Residual Oil only")))</f>
        <v>0</v>
      </c>
      <c r="H12" s="74" t="s">
        <v>224</v>
      </c>
    </row>
    <row r="13" spans="1:11" ht="15" customHeight="1">
      <c r="A13" s="65" t="s">
        <v>31</v>
      </c>
      <c r="B13" s="66" t="s">
        <v>32</v>
      </c>
      <c r="C13" s="73">
        <f>IF('Input Information'!$H$4="R", VLOOKUP(B13,'RESIDUAL MASTER SHEET'!$C$6:$H$45,3,FALSE),IF('Input Information'!$H$4="D",IFERROR(VLOOKUP(B13,'DISTILLATE MASTER SHEET'!$C$6:$H$49,3,FALSE),"For Residual Oil only")))</f>
        <v>1.0060161583980032E-4</v>
      </c>
      <c r="D13" s="81" t="s">
        <v>223</v>
      </c>
      <c r="E13" s="73" t="str">
        <f>IF('Input Information'!$H$4="R", VLOOKUP(B13,'RESIDUAL MASTER SHEET'!$C$6:$H$45,4,FALSE),IF('Input Information'!$H$4="D",IFERROR(VLOOKUP(B13,'DISTILLATE MASTER SHEET'!$C$6:$H$49,4,FALSE),"For Residual Oil only")))</f>
        <v>E</v>
      </c>
      <c r="F13" s="75">
        <f>'Input Information'!$B$33</f>
        <v>0</v>
      </c>
      <c r="G13" s="76">
        <f>IF('Input Information'!$H$4="R", VLOOKUP(B13,'RESIDUAL MASTER SHEET'!$C$6:$H$45,6,FALSE)/1000,IF('Input Information'!$H$4="D",IFERROR(VLOOKUP(B13,'DISTILLATE MASTER SHEET'!$C$6:$H$49,6,FALSE)/1000,"For Residual Oil only")))</f>
        <v>0</v>
      </c>
      <c r="H13" s="74" t="s">
        <v>224</v>
      </c>
    </row>
    <row r="14" spans="1:11" ht="15" customHeight="1">
      <c r="A14" s="65" t="s">
        <v>35</v>
      </c>
      <c r="B14" s="66" t="s">
        <v>36</v>
      </c>
      <c r="C14" s="73">
        <f>IF('Input Information'!$H$4="R", VLOOKUP(B14,'RESIDUAL MASTER SHEET'!$C$6:$H$45,3,FALSE),IF('Input Information'!$H$4="D",IFERROR(VLOOKUP(B14,'DISTILLATE MASTER SHEET'!$C$6:$H$49,3,FALSE),"For Residual Oil only")))</f>
        <v>5.030080791990016E-5</v>
      </c>
      <c r="D14" s="81" t="s">
        <v>223</v>
      </c>
      <c r="E14" s="73" t="str">
        <f>IF('Input Information'!$H$4="R", VLOOKUP(B14,'RESIDUAL MASTER SHEET'!$C$6:$H$45,4,FALSE),IF('Input Information'!$H$4="D",IFERROR(VLOOKUP(B14,'DISTILLATE MASTER SHEET'!$C$6:$H$49,4,FALSE),"For Residual Oil only")))</f>
        <v>E</v>
      </c>
      <c r="F14" s="75">
        <f>'Input Information'!$B$33</f>
        <v>0</v>
      </c>
      <c r="G14" s="76">
        <f>IF('Input Information'!$H$4="R", VLOOKUP(B14,'RESIDUAL MASTER SHEET'!$C$6:$H$45,6,FALSE)/1000,IF('Input Information'!$H$4="D",IFERROR(VLOOKUP(B14,'DISTILLATE MASTER SHEET'!$C$6:$H$49,6,FALSE)/1000,"For Residual Oil only")))</f>
        <v>0</v>
      </c>
      <c r="H14" s="74" t="s">
        <v>224</v>
      </c>
    </row>
    <row r="15" spans="1:11" ht="15" customHeight="1">
      <c r="A15" s="65" t="s">
        <v>82</v>
      </c>
      <c r="B15" s="66" t="s">
        <v>83</v>
      </c>
      <c r="C15" s="73">
        <f>IF('Input Information'!$H$4="R", VLOOKUP(B15,'RESIDUAL MASTER SHEET'!$C$6:$H$45,3,FALSE),IF('Input Information'!$H$4="D",IFERROR(VLOOKUP(B15,'DISTILLATE MASTER SHEET'!$C$6:$H$49,3,FALSE),"For Residual Oil only")))</f>
        <v>6.7067743893200199E-5</v>
      </c>
      <c r="D15" s="81" t="s">
        <v>223</v>
      </c>
      <c r="E15" s="73" t="str">
        <f>IF('Input Information'!$H$4="R", VLOOKUP(B15,'RESIDUAL MASTER SHEET'!$C$6:$H$45,4,FALSE),IF('Input Information'!$H$4="D",IFERROR(VLOOKUP(B15,'DISTILLATE MASTER SHEET'!$C$6:$H$49,4,FALSE),"For Residual Oil only")))</f>
        <v>E</v>
      </c>
      <c r="F15" s="75">
        <f>'Input Information'!$B$33</f>
        <v>0</v>
      </c>
      <c r="G15" s="76">
        <f>IF('Input Information'!$H$4="R", VLOOKUP(B15,'RESIDUAL MASTER SHEET'!$C$6:$H$45,6,FALSE)/1000,IF('Input Information'!$H$4="D",IFERROR(VLOOKUP(B15,'DISTILLATE MASTER SHEET'!$C$6:$H$49,6,FALSE)/1000,"For Residual Oil only")))</f>
        <v>0</v>
      </c>
      <c r="H15" s="74" t="s">
        <v>224</v>
      </c>
    </row>
    <row r="16" spans="1:11" ht="15" customHeight="1">
      <c r="A16" s="65" t="s">
        <v>109</v>
      </c>
      <c r="B16" s="68" t="s">
        <v>90</v>
      </c>
      <c r="C16" s="73" t="str">
        <f>IF('Input Information'!$H$4="R", VLOOKUP(B16,'RESIDUAL MASTER SHEET'!$C$6:$H$45,3,FALSE),IF('Input Information'!$H$4="D",IFERROR(VLOOKUP(B16,'DISTILLATE MASTER SHEET'!$C$6:$H$49,3,FALSE),"For Residual Oil only")))</f>
        <v>For Residual Oil only</v>
      </c>
      <c r="D16" s="81" t="s">
        <v>223</v>
      </c>
      <c r="E16" s="73" t="str">
        <f>IF('Input Information'!$H$4="R", VLOOKUP(B16,'RESIDUAL MASTER SHEET'!$C$6:$H$45,4,FALSE),IF('Input Information'!$H$4="D",IFERROR(VLOOKUP(B16,'DISTILLATE MASTER SHEET'!$C$6:$H$49,4,FALSE),"For Residual Oil only")))</f>
        <v>For Residual Oil only</v>
      </c>
      <c r="F16" s="75">
        <f>'Input Information'!$B$33</f>
        <v>0</v>
      </c>
      <c r="G16" s="76" t="str">
        <f>IF('Input Information'!$H$4="R", VLOOKUP(B16,'RESIDUAL MASTER SHEET'!$C$6:$H$45,6,FALSE)/1000,IF('Input Information'!$H$4="D",IFERROR(VLOOKUP(B16,'DISTILLATE MASTER SHEET'!$C$6:$H$49,6,FALSE)/1000,"For Residual Oil only")))</f>
        <v>For Residual Oil only</v>
      </c>
      <c r="H16" s="74" t="s">
        <v>224</v>
      </c>
    </row>
    <row r="17" spans="1:8" ht="15" customHeight="1">
      <c r="A17" s="65" t="s">
        <v>137</v>
      </c>
      <c r="B17" s="68" t="s">
        <v>91</v>
      </c>
      <c r="C17" s="73" t="str">
        <f>IF('Input Information'!$H$4="R", VLOOKUP(B17,'RESIDUAL MASTER SHEET'!$C$6:$H$45,3,FALSE),IF('Input Information'!$H$4="D",IFERROR(VLOOKUP(B17,'DISTILLATE MASTER SHEET'!$C$6:$H$49,3,FALSE),"For Residual Oil only")))</f>
        <v>For Residual Oil only</v>
      </c>
      <c r="D17" s="81" t="s">
        <v>223</v>
      </c>
      <c r="E17" s="73" t="str">
        <f>IF('Input Information'!$H$4="R", VLOOKUP(B17,'RESIDUAL MASTER SHEET'!$C$6:$H$45,4,FALSE),IF('Input Information'!$H$4="D",IFERROR(VLOOKUP(B17,'DISTILLATE MASTER SHEET'!$C$6:$H$49,4,FALSE),"For Residual Oil only")))</f>
        <v>For Residual Oil only</v>
      </c>
      <c r="F17" s="75">
        <f>'Input Information'!$B$33</f>
        <v>0</v>
      </c>
      <c r="G17" s="76" t="str">
        <f>IF('Input Information'!$H$4="R", VLOOKUP(B17,'RESIDUAL MASTER SHEET'!$C$6:$H$45,6,FALSE)/1000,IF('Input Information'!$H$4="D",IFERROR(VLOOKUP(B17,'DISTILLATE MASTER SHEET'!$C$6:$H$49,6,FALSE)/1000,"For Residual Oil only")))</f>
        <v>For Residual Oil only</v>
      </c>
      <c r="H17" s="74" t="s">
        <v>224</v>
      </c>
    </row>
    <row r="18" spans="1:8" ht="4.5" customHeight="1"/>
    <row r="19" spans="1:8">
      <c r="A19" s="77" t="s">
        <v>280</v>
      </c>
    </row>
    <row r="20" spans="1:8">
      <c r="A20" s="64" t="s">
        <v>295</v>
      </c>
    </row>
    <row r="22" spans="1:8">
      <c r="A22" s="106" t="s">
        <v>217</v>
      </c>
      <c r="H22" s="70"/>
    </row>
    <row r="23" spans="1:8">
      <c r="H23" s="70"/>
    </row>
    <row r="24" spans="1:8" ht="15" customHeight="1">
      <c r="A24" s="109" t="s">
        <v>199</v>
      </c>
      <c r="B24" s="72" t="s">
        <v>294</v>
      </c>
      <c r="C24" s="72" t="s">
        <v>278</v>
      </c>
      <c r="D24" s="72" t="s">
        <v>279</v>
      </c>
      <c r="E24" s="72" t="s">
        <v>201</v>
      </c>
      <c r="F24" s="72" t="s">
        <v>202</v>
      </c>
      <c r="G24" s="72" t="s">
        <v>210</v>
      </c>
      <c r="H24" s="72" t="s">
        <v>203</v>
      </c>
    </row>
    <row r="25" spans="1:8" ht="15" customHeight="1">
      <c r="A25" s="65" t="s">
        <v>37</v>
      </c>
      <c r="B25" s="68" t="s">
        <v>38</v>
      </c>
      <c r="C25" s="73">
        <f>IF('Input Information'!$H$4="R", VLOOKUP(B25,'RESIDUAL MASTER SHEET'!$C$6:$H$45,3,FALSE),IF('Input Information'!$H$4="D",IFERROR(VLOOKUP(B25,'DISTILLATE MASTER SHEET'!$C$6:$H$49,3,FALSE),"For Residual Oil only")))</f>
        <v>6.7067743893200199E-5</v>
      </c>
      <c r="D25" s="81" t="s">
        <v>222</v>
      </c>
      <c r="E25" s="82" t="str">
        <f>IF('Input Information'!$H$4="R", VLOOKUP(B25,'RESIDUAL MASTER SHEET'!$C$6:$H$45,4,FALSE),IF('Input Information'!$H$4="D",IFERROR(VLOOKUP(B25,'DISTILLATE MASTER SHEET'!$C$6:$H$49,4,FALSE),"For Residual Oil only")))</f>
        <v>E</v>
      </c>
      <c r="F25" s="75">
        <f>'Input Information'!$B$33</f>
        <v>0</v>
      </c>
      <c r="G25" s="76">
        <f>IF('Input Information'!$H$4="R", VLOOKUP(B25,'RESIDUAL MASTER SHEET'!$C$6:$H$45,6,FALSE),IF('Input Information'!$H$4="D",IFERROR(VLOOKUP(B25,'DISTILLATE MASTER SHEET'!$C$6:$H$49,6,FALSE),"For Residual Oil only")))</f>
        <v>0</v>
      </c>
      <c r="H25" s="74" t="s">
        <v>208</v>
      </c>
    </row>
    <row r="26" spans="1:8" ht="15" customHeight="1">
      <c r="A26" s="65" t="s">
        <v>39</v>
      </c>
      <c r="B26" s="68" t="s">
        <v>40</v>
      </c>
      <c r="C26" s="73">
        <f>IF('Input Information'!$H$4="R", VLOOKUP(B26,'RESIDUAL MASTER SHEET'!$C$6:$H$45,3,FALSE),IF('Input Information'!$H$4="D",IFERROR(VLOOKUP(B26,'DISTILLATE MASTER SHEET'!$C$6:$H$49,3,FALSE),"For Residual Oil only")))</f>
        <v>5.030080791990016E-5</v>
      </c>
      <c r="D26" s="81" t="s">
        <v>222</v>
      </c>
      <c r="E26" s="82" t="str">
        <f>IF('Input Information'!$H$4="R", VLOOKUP(B26,'RESIDUAL MASTER SHEET'!$C$6:$H$45,4,FALSE),IF('Input Information'!$H$4="D",IFERROR(VLOOKUP(B26,'DISTILLATE MASTER SHEET'!$C$6:$H$49,4,FALSE),"For Residual Oil only")))</f>
        <v>E</v>
      </c>
      <c r="F26" s="75">
        <f>'Input Information'!$B$33</f>
        <v>0</v>
      </c>
      <c r="G26" s="76">
        <f>IF('Input Information'!$H$4="R", VLOOKUP(B26,'RESIDUAL MASTER SHEET'!$C$6:$H$45,6,FALSE),IF('Input Information'!$H$4="D",IFERROR(VLOOKUP(B26,'DISTILLATE MASTER SHEET'!$C$6:$H$49,6,FALSE),"For Residual Oil only")))</f>
        <v>0</v>
      </c>
      <c r="H26" s="74" t="s">
        <v>208</v>
      </c>
    </row>
    <row r="27" spans="1:8" ht="15" customHeight="1">
      <c r="A27" s="65" t="s">
        <v>95</v>
      </c>
      <c r="B27" s="68" t="s">
        <v>94</v>
      </c>
      <c r="C27" s="73" t="str">
        <f>IF('Input Information'!$H$4="R", VLOOKUP(B27,'RESIDUAL MASTER SHEET'!$C$6:$H$45,3,FALSE),IF('Input Information'!$H$4="D",IFERROR(VLOOKUP(B27,'DISTILLATE MASTER SHEET'!$C$6:$H$49,3,FALSE),"For Residual Oil only")))</f>
        <v>For Residual Oil only</v>
      </c>
      <c r="D27" s="81" t="s">
        <v>222</v>
      </c>
      <c r="E27" s="82" t="str">
        <f>IF('Input Information'!$H$4="R", VLOOKUP(B27,'RESIDUAL MASTER SHEET'!$C$6:$H$45,4,FALSE),IF('Input Information'!$H$4="D",IFERROR(VLOOKUP(B27,'DISTILLATE MASTER SHEET'!$C$6:$H$49,4,FALSE),"For Residual Oil only")))</f>
        <v>For Residual Oil only</v>
      </c>
      <c r="F27" s="75">
        <f>'Input Information'!$B$33</f>
        <v>0</v>
      </c>
      <c r="G27" s="76" t="str">
        <f>IF('Input Information'!$H$4="R", VLOOKUP(B27,'RESIDUAL MASTER SHEET'!$C$6:$H$45,6,FALSE),IF('Input Information'!$H$4="D",IFERROR(VLOOKUP(B27,'DISTILLATE MASTER SHEET'!$C$6:$H$49,6,FALSE),"For Residual Oil only")))</f>
        <v>For Residual Oil only</v>
      </c>
      <c r="H27" s="74" t="s">
        <v>208</v>
      </c>
    </row>
    <row r="28" spans="1:8" ht="15" customHeight="1">
      <c r="A28" s="65" t="s">
        <v>108</v>
      </c>
      <c r="B28" s="68" t="s">
        <v>42</v>
      </c>
      <c r="C28" s="73">
        <f>IF('Input Information'!$H$4="R", VLOOKUP(B28,'RESIDUAL MASTER SHEET'!$C$6:$H$45,3,FALSE),IF('Input Information'!$H$4="D",IFERROR(VLOOKUP(B28,'DISTILLATE MASTER SHEET'!$C$6:$H$49,3,FALSE),"For Residual Oil only")))</f>
        <v>1.5090242375970044E-4</v>
      </c>
      <c r="D28" s="81" t="s">
        <v>222</v>
      </c>
      <c r="E28" s="82" t="str">
        <f>IF('Input Information'!$H$4="R", VLOOKUP(B28,'RESIDUAL MASTER SHEET'!$C$6:$H$45,4,FALSE),IF('Input Information'!$H$4="D",IFERROR(VLOOKUP(B28,'DISTILLATE MASTER SHEET'!$C$6:$H$49,4,FALSE),"For Residual Oil only")))</f>
        <v>E</v>
      </c>
      <c r="F28" s="75">
        <f>'Input Information'!$B$33</f>
        <v>0</v>
      </c>
      <c r="G28" s="76">
        <f>IF('Input Information'!$H$4="R", VLOOKUP(B28,'RESIDUAL MASTER SHEET'!$C$6:$H$45,6,FALSE),IF('Input Information'!$H$4="D",IFERROR(VLOOKUP(B28,'DISTILLATE MASTER SHEET'!$C$6:$H$49,6,FALSE),"For Residual Oil only")))</f>
        <v>0</v>
      </c>
      <c r="H28" s="74" t="s">
        <v>208</v>
      </c>
    </row>
    <row r="29" spans="1:8" ht="15" customHeight="1">
      <c r="A29" s="65" t="s">
        <v>43</v>
      </c>
      <c r="B29" s="68" t="s">
        <v>44</v>
      </c>
      <c r="C29" s="73">
        <f>IF('Input Information'!$H$4="R", VLOOKUP(B29,'RESIDUAL MASTER SHEET'!$C$6:$H$45,3,FALSE),IF('Input Information'!$H$4="D",IFERROR(VLOOKUP(B29,'DISTILLATE MASTER SHEET'!$C$6:$H$49,3,FALSE),"For Residual Oil only")))</f>
        <v>5.030080791990016E-5</v>
      </c>
      <c r="D29" s="81" t="s">
        <v>222</v>
      </c>
      <c r="E29" s="82" t="str">
        <f>IF('Input Information'!$H$4="R", VLOOKUP(B29,'RESIDUAL MASTER SHEET'!$C$6:$H$45,4,FALSE),IF('Input Information'!$H$4="D",IFERROR(VLOOKUP(B29,'DISTILLATE MASTER SHEET'!$C$6:$H$49,4,FALSE),"For Residual Oil only")))</f>
        <v>E</v>
      </c>
      <c r="F29" s="75">
        <f>'Input Information'!$B$33</f>
        <v>0</v>
      </c>
      <c r="G29" s="76">
        <f>IF('Input Information'!$H$4="R", VLOOKUP(B29,'RESIDUAL MASTER SHEET'!$C$6:$H$45,6,FALSE),IF('Input Information'!$H$4="D",IFERROR(VLOOKUP(B29,'DISTILLATE MASTER SHEET'!$C$6:$H$49,6,FALSE),"For Residual Oil only")))</f>
        <v>0</v>
      </c>
      <c r="H29" s="74" t="s">
        <v>208</v>
      </c>
    </row>
    <row r="30" spans="1:8" ht="15" customHeight="1">
      <c r="A30" s="65" t="s">
        <v>45</v>
      </c>
      <c r="B30" s="68" t="s">
        <v>46</v>
      </c>
      <c r="C30" s="73">
        <f>IF('Input Information'!$H$4="R", VLOOKUP(B30,'RESIDUAL MASTER SHEET'!$C$6:$H$45,3,FALSE),IF('Input Information'!$H$4="D",IFERROR(VLOOKUP(B30,'DISTILLATE MASTER SHEET'!$C$6:$H$49,3,FALSE),"For Residual Oil only")))</f>
        <v>2.5150403959950076E-4</v>
      </c>
      <c r="D30" s="81" t="s">
        <v>222</v>
      </c>
      <c r="E30" s="82" t="str">
        <f>IF('Input Information'!$H$4="R", VLOOKUP(B30,'RESIDUAL MASTER SHEET'!$C$6:$H$45,4,FALSE),IF('Input Information'!$H$4="D",IFERROR(VLOOKUP(B30,'DISTILLATE MASTER SHEET'!$C$6:$H$49,4,FALSE),"For Residual Oil only")))</f>
        <v>E</v>
      </c>
      <c r="F30" s="75">
        <f>'Input Information'!$B$33</f>
        <v>0</v>
      </c>
      <c r="G30" s="76">
        <f>IF('Input Information'!$H$4="R", VLOOKUP(B30,'RESIDUAL MASTER SHEET'!$C$6:$H$45,6,FALSE),IF('Input Information'!$H$4="D",IFERROR(VLOOKUP(B30,'DISTILLATE MASTER SHEET'!$C$6:$H$49,6,FALSE),"For Residual Oil only")))</f>
        <v>0</v>
      </c>
      <c r="H30" s="74" t="s">
        <v>208</v>
      </c>
    </row>
    <row r="31" spans="1:8" ht="15" customHeight="1">
      <c r="A31" s="65" t="s">
        <v>293</v>
      </c>
      <c r="B31" s="68" t="s">
        <v>96</v>
      </c>
      <c r="C31" s="73" t="str">
        <f>IF('Input Information'!$H$4="R", VLOOKUP(B31,'RESIDUAL MASTER SHEET'!$C$6:$H$45,3,FALSE),IF('Input Information'!$H$4="D",IFERROR(VLOOKUP(B31,'DISTILLATE MASTER SHEET'!$C$6:$H$49,3,FALSE),"For Residual Oil only")))</f>
        <v>For Residual Oil only</v>
      </c>
      <c r="D31" s="81" t="s">
        <v>222</v>
      </c>
      <c r="E31" s="82" t="str">
        <f>IF('Input Information'!$H$4="R", VLOOKUP(B31,'RESIDUAL MASTER SHEET'!$C$6:$H$45,4,FALSE),IF('Input Information'!$H$4="D",IFERROR(VLOOKUP(B31,'DISTILLATE MASTER SHEET'!$C$6:$H$49,4,FALSE),"For Residual Oil only")))</f>
        <v>For Residual Oil only</v>
      </c>
      <c r="F31" s="75">
        <f>'Input Information'!$B$33</f>
        <v>0</v>
      </c>
      <c r="G31" s="76" t="str">
        <f>IF('Input Information'!$H$4="R", VLOOKUP(B31,'RESIDUAL MASTER SHEET'!$C$6:$H$45,6,FALSE),IF('Input Information'!$H$4="D",IFERROR(VLOOKUP(B31,'DISTILLATE MASTER SHEET'!$C$6:$H$49,6,FALSE),"For Residual Oil only")))</f>
        <v>For Residual Oil only</v>
      </c>
      <c r="H31" s="74" t="s">
        <v>208</v>
      </c>
    </row>
    <row r="32" spans="1:8" ht="6" customHeight="1">
      <c r="A32" s="77"/>
      <c r="B32" s="78"/>
      <c r="C32" s="78"/>
      <c r="D32" s="78"/>
      <c r="E32" s="79"/>
      <c r="F32" s="78"/>
      <c r="G32" s="78"/>
      <c r="H32" s="78"/>
    </row>
    <row r="33" spans="1:1">
      <c r="A33" s="77" t="s">
        <v>280</v>
      </c>
    </row>
    <row r="34" spans="1:1">
      <c r="A34" s="64" t="s">
        <v>295</v>
      </c>
    </row>
  </sheetData>
  <sheetProtection password="CA53" sheet="1" objects="1" scenarios="1"/>
  <sortState ref="A25:H31">
    <sortCondition ref="B25"/>
  </sortState>
  <phoneticPr fontId="23" type="noConversion"/>
  <pageMargins left="0.39370078740157483" right="0.39370078740157483" top="0.47244094488188981" bottom="0.39370078740157483" header="0.31496062992125984" footer="0.31496062992125984"/>
  <pageSetup scale="76"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115" zoomScaleNormal="115" workbookViewId="0"/>
  </sheetViews>
  <sheetFormatPr defaultColWidth="9.5703125" defaultRowHeight="12.75"/>
  <cols>
    <col min="1" max="1" width="34" style="64" customWidth="1"/>
    <col min="2" max="2" width="15" style="64" customWidth="1"/>
    <col min="3" max="3" width="19.5703125" style="64" customWidth="1"/>
    <col min="4" max="5" width="10.42578125" style="64" customWidth="1"/>
    <col min="6" max="6" width="26.28515625" style="64" customWidth="1"/>
    <col min="7" max="7" width="13.5703125" style="64" bestFit="1" customWidth="1"/>
    <col min="8" max="8" width="9.5703125" style="64" customWidth="1"/>
    <col min="9" max="9" width="8.42578125" style="64" customWidth="1"/>
    <col min="10" max="10" width="5.7109375" style="64" customWidth="1"/>
    <col min="11" max="16384" width="9.5703125" style="64"/>
  </cols>
  <sheetData>
    <row r="1" spans="1:8">
      <c r="A1" s="107" t="s">
        <v>206</v>
      </c>
      <c r="E1" s="86"/>
      <c r="F1" s="86"/>
      <c r="G1" s="86"/>
      <c r="H1" s="86"/>
    </row>
    <row r="2" spans="1:8">
      <c r="A2" s="93"/>
      <c r="B2" s="89"/>
      <c r="C2" s="89"/>
      <c r="D2" s="89"/>
      <c r="E2" s="89"/>
      <c r="F2" s="89"/>
      <c r="G2" s="86"/>
      <c r="H2" s="86"/>
    </row>
    <row r="3" spans="1:8" ht="15" customHeight="1">
      <c r="A3" s="84" t="s">
        <v>199</v>
      </c>
      <c r="B3" s="54" t="s">
        <v>200</v>
      </c>
      <c r="C3" s="72" t="s">
        <v>278</v>
      </c>
      <c r="D3" s="72" t="s">
        <v>279</v>
      </c>
      <c r="E3" s="54" t="s">
        <v>201</v>
      </c>
      <c r="F3" s="54" t="s">
        <v>207</v>
      </c>
      <c r="G3" s="84" t="s">
        <v>210</v>
      </c>
      <c r="H3" s="54" t="s">
        <v>203</v>
      </c>
    </row>
    <row r="4" spans="1:8" ht="15" customHeight="1">
      <c r="A4" s="65" t="s">
        <v>98</v>
      </c>
      <c r="B4" s="207" t="s">
        <v>97</v>
      </c>
      <c r="C4" s="95">
        <f>IF('Input Information'!$H$4="R", VLOOKUP(B4,'RESIDUAL MASTER SHEET'!$C$6:$H$48,3,FALSE),IF('Input Information'!$H$4="D",IFERROR(VLOOKUP(B4,'DISTILLATE MASTER SHEET'!$C$6:$H$49,3,FALSE),"For Residual Oil only")))</f>
        <v>2.528340122107212E-6</v>
      </c>
      <c r="D4" s="81" t="s">
        <v>222</v>
      </c>
      <c r="E4" s="53" t="str">
        <f>IF('Input Information'!$H$4="R", VLOOKUP(B4,'RESIDUAL MASTER SHEET'!$C$6:$H$48,4,FALSE),IF('Input Information'!$H$4="D",IFERROR(VLOOKUP(B4,'DISTILLATE MASTER SHEET'!$C$6:$H$49,4,FALSE),"For Residual Oil only")))</f>
        <v>C</v>
      </c>
      <c r="F4" s="94">
        <f>'Input Information'!$B$33</f>
        <v>0</v>
      </c>
      <c r="G4" s="100">
        <f>IF('Input Information'!$H$4="R", VLOOKUP(B4,'RESIDUAL MASTER SHEET'!$C$6:$H$48,6,FALSE),IF('Input Information'!$H$4="D",IFERROR(VLOOKUP(B4,'DISTILLATE MASTER SHEET'!$C$6:$H$49,6,FALSE),"For Residual Oil only")))</f>
        <v>0</v>
      </c>
      <c r="H4" s="83" t="s">
        <v>225</v>
      </c>
    </row>
    <row r="5" spans="1:8" ht="15" customHeight="1">
      <c r="A5" s="65" t="s">
        <v>273</v>
      </c>
      <c r="B5" s="68" t="s">
        <v>99</v>
      </c>
      <c r="C5" s="95">
        <f>IF('Input Information'!$H$4="R", VLOOKUP(B5,'RESIDUAL MASTER SHEET'!$C$6:$H$48,3,FALSE),IF('Input Information'!$H$4="D",IFERROR(VLOOKUP(B5,'DISTILLATE MASTER SHEET'!$C$6:$H$49,3,FALSE),"For Residual Oil only")))</f>
        <v>3.0316116156072255E-8</v>
      </c>
      <c r="D5" s="81" t="s">
        <v>222</v>
      </c>
      <c r="E5" s="53" t="str">
        <f>IF('Input Information'!$H$4="R", VLOOKUP(B5,'RESIDUAL MASTER SHEET'!$C$6:$H$48,4,FALSE),IF('Input Information'!$H$4="D",IFERROR(VLOOKUP(B5,'DISTILLATE MASTER SHEET'!$C$6:$H$49,4,FALSE),"For Residual Oil only")))</f>
        <v>D</v>
      </c>
      <c r="F5" s="94">
        <f>'Input Information'!$B$33</f>
        <v>0</v>
      </c>
      <c r="G5" s="100">
        <f>IF('Input Information'!$H$4="R", VLOOKUP(B5,'RESIDUAL MASTER SHEET'!$C$6:$H$48,6,FALSE),IF('Input Information'!$H$4="D",IFERROR(VLOOKUP(B5,'DISTILLATE MASTER SHEET'!$C$6:$H$49,6,FALSE),"For Residual Oil only")))</f>
        <v>0</v>
      </c>
      <c r="H5" s="83" t="s">
        <v>225</v>
      </c>
    </row>
    <row r="6" spans="1:8" ht="15" customHeight="1">
      <c r="A6" s="65" t="s">
        <v>56</v>
      </c>
      <c r="B6" s="66" t="s">
        <v>57</v>
      </c>
      <c r="C6" s="95">
        <f>IF('Input Information'!$H$4="R", VLOOKUP(B6,'RESIDUAL MASTER SHEET'!$C$6:$H$48,3,FALSE),IF('Input Information'!$H$4="D",IFERROR(VLOOKUP(B6,'DISTILLATE MASTER SHEET'!$C$6:$H$49,3,FALSE),"For Residual Oil only")))</f>
        <v>1.4618838620714684E-7</v>
      </c>
      <c r="D6" s="81" t="s">
        <v>222</v>
      </c>
      <c r="E6" s="53" t="str">
        <f>IF('Input Information'!$H$4="R", VLOOKUP(B6,'RESIDUAL MASTER SHEET'!$C$6:$H$48,4,FALSE),IF('Input Information'!$H$4="D",IFERROR(VLOOKUP(B6,'DISTILLATE MASTER SHEET'!$C$6:$H$49,4,FALSE),"For Residual Oil only")))</f>
        <v>C</v>
      </c>
      <c r="F6" s="94">
        <f>'Input Information'!$B$33</f>
        <v>0</v>
      </c>
      <c r="G6" s="100">
        <f>IF('Input Information'!$H$4="R", VLOOKUP(B6,'RESIDUAL MASTER SHEET'!$C$6:$H$48,6,FALSE),IF('Input Information'!$H$4="D",IFERROR(VLOOKUP(B6,'DISTILLATE MASTER SHEET'!$C$6:$H$49,6,FALSE),"For Residual Oil only")))</f>
        <v>0</v>
      </c>
      <c r="H6" s="83" t="s">
        <v>225</v>
      </c>
    </row>
    <row r="7" spans="1:8" ht="15" customHeight="1">
      <c r="A7" s="65" t="s">
        <v>304</v>
      </c>
      <c r="B7" s="68" t="s">
        <v>58</v>
      </c>
      <c r="C7" s="95">
        <f>IF('Input Information'!$H$4="R", VLOOKUP(B7,'RESIDUAL MASTER SHEET'!$C$6:$H$48,3,FALSE),IF('Input Information'!$H$4="D",IFERROR(VLOOKUP(B7,'DISTILLATE MASTER SHEET'!$C$6:$H$49,3,FALSE),"For Residual Oil only")))</f>
        <v>4.8050444974644168E-7</v>
      </c>
      <c r="D7" s="81" t="s">
        <v>222</v>
      </c>
      <c r="E7" s="53" t="str">
        <f>IF('Input Information'!$H$4="R", VLOOKUP(B7,'RESIDUAL MASTER SHEET'!$C$6:$H$48,4,FALSE),IF('Input Information'!$H$4="D",IFERROR(VLOOKUP(B7,'DISTILLATE MASTER SHEET'!$C$6:$H$49,4,FALSE),"For Residual Oil only")))</f>
        <v>C</v>
      </c>
      <c r="F7" s="94">
        <f>'Input Information'!$B$33</f>
        <v>0</v>
      </c>
      <c r="G7" s="100">
        <f>IF('Input Information'!$H$4="R", VLOOKUP(B7,'RESIDUAL MASTER SHEET'!$C$6:$H$48,6,FALSE),IF('Input Information'!$H$4="D",IFERROR(VLOOKUP(B7,'DISTILLATE MASTER SHEET'!$C$6:$H$49,6,FALSE),"For Residual Oil only")))</f>
        <v>0</v>
      </c>
      <c r="H7" s="83" t="s">
        <v>225</v>
      </c>
    </row>
    <row r="8" spans="1:8" ht="15" customHeight="1">
      <c r="A8" s="65" t="s">
        <v>297</v>
      </c>
      <c r="B8" s="68" t="s">
        <v>59</v>
      </c>
      <c r="C8" s="95">
        <f>IF('Input Information'!$H$4="R", VLOOKUP(B8,'RESIDUAL MASTER SHEET'!$C$6:$H$48,3,FALSE),IF('Input Information'!$H$4="D",IFERROR(VLOOKUP(B8,'DISTILLATE MASTER SHEET'!$C$6:$H$49,3,FALSE),"For Residual Oil only")))</f>
        <v>2.851871796500078E-7</v>
      </c>
      <c r="D8" s="81" t="s">
        <v>222</v>
      </c>
      <c r="E8" s="53" t="str">
        <f>IF('Input Information'!$H$4="R", VLOOKUP(B8,'RESIDUAL MASTER SHEET'!$C$6:$H$48,4,FALSE),IF('Input Information'!$H$4="D",IFERROR(VLOOKUP(B8,'DISTILLATE MASTER SHEET'!$C$6:$H$49,4,FALSE),"For Residual Oil only")))</f>
        <v>C</v>
      </c>
      <c r="F8" s="94">
        <f>'Input Information'!$B$33</f>
        <v>0</v>
      </c>
      <c r="G8" s="100">
        <f>IF('Input Information'!$H$4="R", VLOOKUP(B8,'RESIDUAL MASTER SHEET'!$C$6:$H$48,6,FALSE),IF('Input Information'!$H$4="D",IFERROR(VLOOKUP(B8,'DISTILLATE MASTER SHEET'!$C$6:$H$49,6,FALSE),"For Residual Oil only")))</f>
        <v>0</v>
      </c>
      <c r="H8" s="83" t="s">
        <v>225</v>
      </c>
    </row>
    <row r="9" spans="1:8" ht="15" customHeight="1">
      <c r="A9" s="65" t="s">
        <v>300</v>
      </c>
      <c r="B9" s="68" t="s">
        <v>60</v>
      </c>
      <c r="C9" s="95">
        <f>IF('Input Information'!$H$4="R", VLOOKUP(B9,'RESIDUAL MASTER SHEET'!$C$6:$H$48,3,FALSE),IF('Input Information'!$H$4="D",IFERROR(VLOOKUP(B9,'DISTILLATE MASTER SHEET'!$C$6:$H$49,3,FALSE),"For Residual Oil only")))</f>
        <v>1.7734328818571913E-7</v>
      </c>
      <c r="D9" s="81" t="s">
        <v>222</v>
      </c>
      <c r="E9" s="53" t="str">
        <f>IF('Input Information'!$H$4="R", VLOOKUP(B9,'RESIDUAL MASTER SHEET'!$C$6:$H$48,4,FALSE),IF('Input Information'!$H$4="D",IFERROR(VLOOKUP(B9,'DISTILLATE MASTER SHEET'!$C$6:$H$49,4,FALSE),"For Residual Oil only")))</f>
        <v>C</v>
      </c>
      <c r="F9" s="94">
        <f>'Input Information'!$B$33</f>
        <v>0</v>
      </c>
      <c r="G9" s="100">
        <f>IF('Input Information'!$H$4="R", VLOOKUP(B9,'RESIDUAL MASTER SHEET'!$C$6:$H$48,6,FALSE),IF('Input Information'!$H$4="D",IFERROR(VLOOKUP(B9,'DISTILLATE MASTER SHEET'!$C$6:$H$49,6,FALSE),"For Residual Oil only")))</f>
        <v>0</v>
      </c>
      <c r="H9" s="83" t="s">
        <v>225</v>
      </c>
    </row>
    <row r="10" spans="1:8" ht="15" customHeight="1">
      <c r="A10" s="65" t="s">
        <v>298</v>
      </c>
      <c r="B10" s="68" t="s">
        <v>61</v>
      </c>
      <c r="C10" s="95">
        <f>IF('Input Information'!$H$4="R", VLOOKUP(B10,'RESIDUAL MASTER SHEET'!$C$6:$H$48,3,FALSE),IF('Input Information'!$H$4="D",IFERROR(VLOOKUP(B10,'DISTILLATE MASTER SHEET'!$C$6:$H$49,3,FALSE),"For Residual Oil only")))</f>
        <v>2.7080799412143594E-7</v>
      </c>
      <c r="D10" s="81" t="s">
        <v>222</v>
      </c>
      <c r="E10" s="53" t="str">
        <f>IF('Input Information'!$H$4="R", VLOOKUP(B10,'RESIDUAL MASTER SHEET'!$C$6:$H$48,4,FALSE),IF('Input Information'!$H$4="D",IFERROR(VLOOKUP(B10,'DISTILLATE MASTER SHEET'!$C$6:$H$49,4,FALSE),"For Residual Oil only")))</f>
        <v>C</v>
      </c>
      <c r="F10" s="94">
        <f>'Input Information'!$B$33</f>
        <v>0</v>
      </c>
      <c r="G10" s="100">
        <f>IF('Input Information'!$H$4="R", VLOOKUP(B10,'RESIDUAL MASTER SHEET'!$C$6:$H$48,6,FALSE),IF('Input Information'!$H$4="D",IFERROR(VLOOKUP(B10,'DISTILLATE MASTER SHEET'!$C$6:$H$49,6,FALSE),"For Residual Oil only")))</f>
        <v>0</v>
      </c>
      <c r="H10" s="83" t="s">
        <v>225</v>
      </c>
    </row>
    <row r="11" spans="1:8" ht="15" customHeight="1">
      <c r="A11" s="65" t="s">
        <v>299</v>
      </c>
      <c r="B11" s="68" t="s">
        <v>62</v>
      </c>
      <c r="C11" s="95">
        <f>IF('Input Information'!$H$4="R", VLOOKUP(B11,'RESIDUAL MASTER SHEET'!$C$6:$H$48,3,FALSE),IF('Input Information'!$H$4="D",IFERROR(VLOOKUP(B11,'DISTILLATE MASTER SHEET'!$C$6:$H$49,3,FALSE),"For Residual Oil only")))</f>
        <v>1.7734328818571913E-7</v>
      </c>
      <c r="D11" s="81" t="s">
        <v>222</v>
      </c>
      <c r="E11" s="53" t="str">
        <f>IF('Input Information'!$H$4="R", VLOOKUP(B11,'RESIDUAL MASTER SHEET'!$C$6:$H$48,4,FALSE),IF('Input Information'!$H$4="D",IFERROR(VLOOKUP(B11,'DISTILLATE MASTER SHEET'!$C$6:$H$49,4,FALSE),"For Residual Oil only")))</f>
        <v>C</v>
      </c>
      <c r="F11" s="94">
        <f>'Input Information'!$B$33</f>
        <v>0</v>
      </c>
      <c r="G11" s="100">
        <f>IF('Input Information'!$H$4="R", VLOOKUP(B11,'RESIDUAL MASTER SHEET'!$C$6:$H$48,6,FALSE),IF('Input Information'!$H$4="D",IFERROR(VLOOKUP(B11,'DISTILLATE MASTER SHEET'!$C$6:$H$49,6,FALSE),"For Residual Oil only")))</f>
        <v>0</v>
      </c>
      <c r="H11" s="83" t="s">
        <v>225</v>
      </c>
    </row>
    <row r="12" spans="1:8" ht="15" customHeight="1">
      <c r="A12" s="65" t="s">
        <v>301</v>
      </c>
      <c r="B12" s="68" t="s">
        <v>63</v>
      </c>
      <c r="C12" s="95">
        <f>IF('Input Information'!$H$4="R", VLOOKUP(B12,'RESIDUAL MASTER SHEET'!$C$6:$H$48,3,FALSE),IF('Input Information'!$H$4="D",IFERROR(VLOOKUP(B12,'DISTILLATE MASTER SHEET'!$C$6:$H$49,3,FALSE),"For Residual Oil only")))</f>
        <v>2.0011033193929119E-7</v>
      </c>
      <c r="D12" s="81" t="s">
        <v>222</v>
      </c>
      <c r="E12" s="53" t="str">
        <f>IF('Input Information'!$H$4="R", VLOOKUP(B12,'RESIDUAL MASTER SHEET'!$C$6:$H$48,4,FALSE),IF('Input Information'!$H$4="D",IFERROR(VLOOKUP(B12,'DISTILLATE MASTER SHEET'!$C$6:$H$49,4,FALSE),"For Residual Oil only")))</f>
        <v>D</v>
      </c>
      <c r="F12" s="94">
        <f>'Input Information'!$B$33</f>
        <v>0</v>
      </c>
      <c r="G12" s="100">
        <f>IF('Input Information'!$H$4="R", VLOOKUP(B12,'RESIDUAL MASTER SHEET'!$C$6:$H$48,6,FALSE),IF('Input Information'!$H$4="D",IFERROR(VLOOKUP(B12,'DISTILLATE MASTER SHEET'!$C$6:$H$49,6,FALSE),"For Residual Oil only")))</f>
        <v>0</v>
      </c>
      <c r="H12" s="83" t="s">
        <v>225</v>
      </c>
    </row>
    <row r="13" spans="1:8" ht="15" customHeight="1">
      <c r="A13" s="65" t="s">
        <v>66</v>
      </c>
      <c r="B13" s="68" t="s">
        <v>67</v>
      </c>
      <c r="C13" s="95">
        <f>IF('Input Information'!$H$4="R", VLOOKUP(B13,'RESIDUAL MASTER SHEET'!$C$6:$H$48,3,FALSE),IF('Input Information'!$H$4="D",IFERROR(VLOOKUP(B13,'DISTILLATE MASTER SHEET'!$C$6:$H$49,3,FALSE),"For Residual Oil only")))</f>
        <v>5.7996048298573011E-7</v>
      </c>
      <c r="D13" s="81" t="s">
        <v>222</v>
      </c>
      <c r="E13" s="53" t="str">
        <f>IF('Input Information'!$H$4="R", VLOOKUP(B13,'RESIDUAL MASTER SHEET'!$C$6:$H$48,4,FALSE),IF('Input Information'!$H$4="D",IFERROR(VLOOKUP(B13,'DISTILLATE MASTER SHEET'!$C$6:$H$49,4,FALSE),"For Residual Oil only")))</f>
        <v>C</v>
      </c>
      <c r="F13" s="94">
        <f>'Input Information'!$B$33</f>
        <v>0</v>
      </c>
      <c r="G13" s="100">
        <f>IF('Input Information'!$H$4="R", VLOOKUP(B13,'RESIDUAL MASTER SHEET'!$C$6:$H$48,6,FALSE),IF('Input Information'!$H$4="D",IFERROR(VLOOKUP(B13,'DISTILLATE MASTER SHEET'!$C$6:$H$49,6,FALSE),"For Residual Oil only")))</f>
        <v>0</v>
      </c>
      <c r="H13" s="83" t="s">
        <v>225</v>
      </c>
    </row>
    <row r="14" spans="1:8" ht="15" customHeight="1">
      <c r="A14" s="65" t="s">
        <v>101</v>
      </c>
      <c r="B14" s="68" t="s">
        <v>100</v>
      </c>
      <c r="C14" s="95">
        <f>IF('Input Information'!$H$4="R", VLOOKUP(B14,'RESIDUAL MASTER SHEET'!$C$6:$H$48,3,FALSE),IF('Input Information'!$H$4="D",IFERROR(VLOOKUP(B14,'DISTILLATE MASTER SHEET'!$C$6:$H$49,3,FALSE),"For Residual Oil only")))</f>
        <v>5.3562466093930034E-7</v>
      </c>
      <c r="D14" s="81" t="s">
        <v>222</v>
      </c>
      <c r="E14" s="53" t="str">
        <f>IF('Input Information'!$H$4="R", VLOOKUP(B14,'RESIDUAL MASTER SHEET'!$C$6:$H$48,4,FALSE),IF('Input Information'!$H$4="D",IFERROR(VLOOKUP(B14,'DISTILLATE MASTER SHEET'!$C$6:$H$49,4,FALSE),"For Residual Oil only")))</f>
        <v>C</v>
      </c>
      <c r="F14" s="94">
        <f>'Input Information'!$B$33</f>
        <v>0</v>
      </c>
      <c r="G14" s="100">
        <f>IF('Input Information'!$H$4="R", VLOOKUP(B14,'RESIDUAL MASTER SHEET'!$C$6:$H$48,6,FALSE),IF('Input Information'!$H$4="D",IFERROR(VLOOKUP(B14,'DISTILLATE MASTER SHEET'!$C$6:$H$49,6,FALSE),"For Residual Oil only")))</f>
        <v>0</v>
      </c>
      <c r="H14" s="83" t="s">
        <v>225</v>
      </c>
    </row>
    <row r="15" spans="1:8" ht="15" customHeight="1">
      <c r="A15" s="65" t="s">
        <v>302</v>
      </c>
      <c r="B15" s="68" t="s">
        <v>68</v>
      </c>
      <c r="C15" s="95">
        <f>IF('Input Information'!$H$4="R", VLOOKUP(B15,'RESIDUAL MASTER SHEET'!$C$6:$H$48,3,FALSE),IF('Input Information'!$H$4="D",IFERROR(VLOOKUP(B15,'DISTILLATE MASTER SHEET'!$C$6:$H$49,3,FALSE),"For Residual Oil only")))</f>
        <v>2.5642880859286413E-7</v>
      </c>
      <c r="D15" s="81" t="s">
        <v>222</v>
      </c>
      <c r="E15" s="53" t="str">
        <f>IF('Input Information'!$H$4="R", VLOOKUP(B15,'RESIDUAL MASTER SHEET'!$C$6:$H$48,4,FALSE),IF('Input Information'!$H$4="D",IFERROR(VLOOKUP(B15,'DISTILLATE MASTER SHEET'!$C$6:$H$49,4,FALSE),"For Residual Oil only")))</f>
        <v>C</v>
      </c>
      <c r="F15" s="94">
        <f>'Input Information'!$B$33</f>
        <v>0</v>
      </c>
      <c r="G15" s="100">
        <f>IF('Input Information'!$H$4="R", VLOOKUP(B15,'RESIDUAL MASTER SHEET'!$C$6:$H$48,6,FALSE),IF('Input Information'!$H$4="D",IFERROR(VLOOKUP(B15,'DISTILLATE MASTER SHEET'!$C$6:$H$49,6,FALSE),"For Residual Oil only")))</f>
        <v>0</v>
      </c>
      <c r="H15" s="83" t="s">
        <v>225</v>
      </c>
    </row>
    <row r="16" spans="1:8" ht="15" customHeight="1">
      <c r="A16" s="65" t="s">
        <v>71</v>
      </c>
      <c r="B16" s="68" t="s">
        <v>72</v>
      </c>
      <c r="C16" s="95">
        <f>IF('Input Information'!$H$4="R", VLOOKUP(B16,'RESIDUAL MASTER SHEET'!$C$6:$H$48,3,FALSE),IF('Input Information'!$H$4="D",IFERROR(VLOOKUP(B16,'DISTILLATE MASTER SHEET'!$C$6:$H$49,3,FALSE),"For Residual Oil only")))</f>
        <v>1.2581787337500342E-6</v>
      </c>
      <c r="D16" s="81" t="s">
        <v>222</v>
      </c>
      <c r="E16" s="53" t="str">
        <f>IF('Input Information'!$H$4="R", VLOOKUP(B16,'RESIDUAL MASTER SHEET'!$C$6:$H$48,4,FALSE),IF('Input Information'!$H$4="D",IFERROR(VLOOKUP(B16,'DISTILLATE MASTER SHEET'!$C$6:$H$49,4,FALSE),"For Residual Oil only")))</f>
        <v>E</v>
      </c>
      <c r="F16" s="94">
        <f>'Input Information'!$B$33</f>
        <v>0</v>
      </c>
      <c r="G16" s="100">
        <f>IF('Input Information'!$H$4="R", VLOOKUP(B16,'RESIDUAL MASTER SHEET'!$C$6:$H$48,6,FALSE),IF('Input Information'!$H$4="D",IFERROR(VLOOKUP(B16,'DISTILLATE MASTER SHEET'!$C$6:$H$49,6,FALSE),"For Residual Oil only")))</f>
        <v>0</v>
      </c>
      <c r="H16" s="83" t="s">
        <v>225</v>
      </c>
    </row>
    <row r="17" spans="1:8" ht="15" customHeight="1">
      <c r="A17" s="65" t="s">
        <v>73</v>
      </c>
      <c r="B17" s="68" t="s">
        <v>74</v>
      </c>
      <c r="C17" s="95">
        <f>IF('Input Information'!$H$4="R", VLOOKUP(B17,'RESIDUAL MASTER SHEET'!$C$6:$H$48,3,FALSE),IF('Input Information'!$H$4="D",IFERROR(VLOOKUP(B17,'DISTILLATE MASTER SHEET'!$C$6:$H$49,3,FALSE),"For Residual Oil only")))</f>
        <v>5.092628208035853E-7</v>
      </c>
      <c r="D17" s="81" t="s">
        <v>222</v>
      </c>
      <c r="E17" s="53" t="str">
        <f>IF('Input Information'!$H$4="R", VLOOKUP(B17,'RESIDUAL MASTER SHEET'!$C$6:$H$48,4,FALSE),IF('Input Information'!$H$4="D",IFERROR(VLOOKUP(B17,'DISTILLATE MASTER SHEET'!$C$6:$H$49,4,FALSE),"For Residual Oil only")))</f>
        <v>C</v>
      </c>
      <c r="F17" s="94">
        <f>'Input Information'!$B$33</f>
        <v>0</v>
      </c>
      <c r="G17" s="100">
        <f>IF('Input Information'!$H$4="R", VLOOKUP(B17,'RESIDUAL MASTER SHEET'!$C$6:$H$48,6,FALSE),IF('Input Information'!$H$4="D",IFERROR(VLOOKUP(B17,'DISTILLATE MASTER SHEET'!$C$6:$H$49,6,FALSE),"For Residual Oil only")))</f>
        <v>0</v>
      </c>
      <c r="H17" s="83" t="s">
        <v>225</v>
      </c>
    </row>
    <row r="18" spans="1:8" ht="8.25" customHeight="1">
      <c r="A18" s="69"/>
      <c r="B18" s="96"/>
      <c r="C18" s="97"/>
      <c r="D18" s="98"/>
      <c r="E18" s="98"/>
      <c r="F18" s="98"/>
      <c r="G18" s="99"/>
      <c r="H18" s="98"/>
    </row>
    <row r="19" spans="1:8" ht="15" customHeight="1">
      <c r="A19" s="77" t="s">
        <v>280</v>
      </c>
      <c r="B19" s="87"/>
      <c r="C19" s="86"/>
      <c r="D19" s="86"/>
      <c r="E19" s="86"/>
      <c r="F19" s="86"/>
      <c r="G19" s="86"/>
      <c r="H19" s="86"/>
    </row>
    <row r="20" spans="1:8" ht="15" customHeight="1">
      <c r="A20" s="71"/>
      <c r="B20" s="87"/>
      <c r="C20" s="86"/>
      <c r="D20" s="86"/>
      <c r="E20" s="86"/>
      <c r="F20" s="86"/>
      <c r="G20" s="86"/>
      <c r="H20" s="86"/>
    </row>
    <row r="21" spans="1:8" ht="15" customHeight="1">
      <c r="A21" s="71"/>
      <c r="B21" s="87"/>
      <c r="C21" s="86"/>
      <c r="D21" s="86"/>
      <c r="E21" s="86"/>
      <c r="F21" s="86"/>
      <c r="G21" s="86"/>
      <c r="H21" s="86"/>
    </row>
    <row r="22" spans="1:8" ht="15" customHeight="1">
      <c r="A22" s="71"/>
      <c r="B22" s="87"/>
      <c r="C22" s="86"/>
      <c r="D22" s="86"/>
      <c r="E22" s="86"/>
      <c r="F22" s="86"/>
      <c r="G22" s="86"/>
      <c r="H22" s="86"/>
    </row>
    <row r="23" spans="1:8">
      <c r="A23" s="107" t="s">
        <v>209</v>
      </c>
      <c r="B23" s="87"/>
      <c r="E23" s="88"/>
      <c r="F23" s="88"/>
      <c r="G23" s="86"/>
      <c r="H23" s="86"/>
    </row>
    <row r="24" spans="1:8">
      <c r="A24" s="86"/>
      <c r="B24" s="89"/>
      <c r="C24" s="89"/>
      <c r="D24" s="89"/>
      <c r="E24" s="89"/>
      <c r="F24" s="89"/>
      <c r="G24" s="86"/>
      <c r="H24" s="86"/>
    </row>
    <row r="25" spans="1:8" ht="15" customHeight="1">
      <c r="A25" s="84" t="s">
        <v>199</v>
      </c>
      <c r="B25" s="54" t="s">
        <v>200</v>
      </c>
      <c r="C25" s="72" t="s">
        <v>278</v>
      </c>
      <c r="D25" s="72" t="s">
        <v>279</v>
      </c>
      <c r="E25" s="54" t="s">
        <v>201</v>
      </c>
      <c r="F25" s="54" t="s">
        <v>207</v>
      </c>
      <c r="G25" s="84" t="s">
        <v>210</v>
      </c>
      <c r="H25" s="54" t="s">
        <v>203</v>
      </c>
    </row>
    <row r="26" spans="1:8" ht="15" customHeight="1">
      <c r="A26" s="67" t="s">
        <v>211</v>
      </c>
      <c r="B26" s="66" t="s">
        <v>70</v>
      </c>
      <c r="C26" s="95">
        <f>IF('Input Information'!$H$4="R", VLOOKUP(B26,'RESIDUAL MASTER SHEET'!$C$6:$H$45,3,FALSE),IF('Input Information'!$H$4="D",IFERROR(VLOOKUP(B26,'DISTILLATE MASTER SHEET'!$C$6:$H$49,3,FALSE),"For Residual Oil only")))</f>
        <v>3.7146229282143872E-10</v>
      </c>
      <c r="D26" s="81" t="s">
        <v>222</v>
      </c>
      <c r="E26" s="53" t="str">
        <f>IF('Input Information'!$H$4="R", VLOOKUP(B26,'RESIDUAL MASTER SHEET'!$C$6:$H$45,4,FALSE),IF('Input Information'!$H$4="D",IFERROR(VLOOKUP(B26,'DISTILLATE MASTER SHEET'!$C$6:$H$49,4,FALSE),"For Residual Oil only")))</f>
        <v>E</v>
      </c>
      <c r="F26" s="94">
        <f>'Input Information'!$B$33</f>
        <v>0</v>
      </c>
      <c r="G26" s="100">
        <f>IF('Input Information'!$H$4="R", VLOOKUP(B26,'RESIDUAL MASTER SHEET'!$C$6:$H$45,6,FALSE),IF('Input Information'!$H$4="D",IFERROR(VLOOKUP(B26,'DISTILLATE MASTER SHEET'!$C$6:$H$49,6,FALSE),"For Residual Oil only")))</f>
        <v>0</v>
      </c>
      <c r="H26" s="83" t="s">
        <v>225</v>
      </c>
    </row>
    <row r="27" spans="1:8" ht="6" customHeight="1">
      <c r="A27" s="92"/>
      <c r="B27" s="90"/>
      <c r="C27" s="91"/>
      <c r="D27" s="91"/>
      <c r="E27" s="91"/>
      <c r="F27" s="91"/>
      <c r="G27" s="90"/>
      <c r="H27" s="91"/>
    </row>
    <row r="28" spans="1:8" ht="15" customHeight="1">
      <c r="A28" s="77" t="s">
        <v>280</v>
      </c>
      <c r="B28" s="87"/>
      <c r="C28" s="86"/>
      <c r="D28" s="86"/>
      <c r="E28" s="86"/>
      <c r="F28" s="86"/>
      <c r="G28" s="86"/>
      <c r="H28" s="86"/>
    </row>
    <row r="29" spans="1:8">
      <c r="A29" s="86"/>
      <c r="B29" s="87"/>
      <c r="C29" s="86"/>
      <c r="D29" s="86"/>
      <c r="E29" s="86"/>
      <c r="F29" s="86"/>
      <c r="G29" s="86"/>
      <c r="H29" s="86"/>
    </row>
    <row r="30" spans="1:8">
      <c r="A30" s="86"/>
      <c r="B30" s="87"/>
      <c r="C30" s="86"/>
      <c r="D30" s="86"/>
      <c r="E30" s="86"/>
      <c r="F30" s="86"/>
      <c r="G30" s="86"/>
      <c r="H30" s="86"/>
    </row>
  </sheetData>
  <sheetProtection password="CA53" sheet="1" objects="1" scenarios="1"/>
  <sortState ref="A4:H17">
    <sortCondition ref="A4"/>
  </sortState>
  <phoneticPr fontId="23" type="noConversion"/>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3"/>
  <sheetViews>
    <sheetView zoomScale="115" zoomScaleNormal="115" workbookViewId="0"/>
  </sheetViews>
  <sheetFormatPr defaultColWidth="9.5703125" defaultRowHeight="12.75"/>
  <cols>
    <col min="1" max="1" width="47.28515625" style="64" customWidth="1"/>
    <col min="2" max="2" width="12.5703125" style="64" customWidth="1"/>
    <col min="3" max="3" width="19.28515625" style="64" customWidth="1"/>
    <col min="4" max="5" width="10.42578125" style="64" customWidth="1"/>
    <col min="6" max="6" width="26.7109375" style="64" customWidth="1"/>
    <col min="7" max="7" width="20.28515625" style="64" bestFit="1" customWidth="1"/>
    <col min="8" max="8" width="10.7109375" style="64" customWidth="1"/>
    <col min="9" max="16384" width="9.5703125" style="64"/>
  </cols>
  <sheetData>
    <row r="1" spans="1:8">
      <c r="A1" s="108" t="s">
        <v>204</v>
      </c>
      <c r="H1" s="70"/>
    </row>
    <row r="2" spans="1:8">
      <c r="H2" s="70"/>
    </row>
    <row r="3" spans="1:8" ht="15" customHeight="1">
      <c r="A3" s="109" t="s">
        <v>199</v>
      </c>
      <c r="B3" s="72" t="s">
        <v>294</v>
      </c>
      <c r="C3" s="72" t="s">
        <v>278</v>
      </c>
      <c r="D3" s="72" t="s">
        <v>279</v>
      </c>
      <c r="E3" s="72" t="s">
        <v>201</v>
      </c>
      <c r="F3" s="72" t="s">
        <v>202</v>
      </c>
      <c r="G3" s="72" t="s">
        <v>210</v>
      </c>
      <c r="H3" s="72" t="s">
        <v>203</v>
      </c>
    </row>
    <row r="4" spans="1:8" s="120" customFormat="1" ht="15" customHeight="1">
      <c r="A4" s="121" t="s">
        <v>228</v>
      </c>
      <c r="B4" s="113" t="s">
        <v>53</v>
      </c>
      <c r="C4" s="114">
        <f>IF('Input Information'!$H$4="R", VLOOKUP(B4,'RESIDUAL MASTER SHEET'!$C$6:$H$45,3,FALSE),IF('Input Information'!$H$4="D",IFERROR(VLOOKUP(B4,'DISTILLATE MASTER SHEET'!$C$6:$H$49,3,FALSE),"For Residual Oil only")))</f>
        <v>0.59913273035715919</v>
      </c>
      <c r="D4" s="115" t="s">
        <v>229</v>
      </c>
      <c r="E4" s="116" t="str">
        <f>IF('Input Information'!$H$4="R", VLOOKUP(B4,'RESIDUAL MASTER SHEET'!$C$6:$H$45,4,FALSE),IF('Input Information'!$H$4="D",IFERROR(VLOOKUP(B4,'DISTILLATE MASTER SHEET'!$C$6:$H$49,4,FALSE),"For Residual Oil only")))</f>
        <v>A</v>
      </c>
      <c r="F4" s="117">
        <f>'Input Information'!$B$33</f>
        <v>0</v>
      </c>
      <c r="G4" s="118">
        <f>IF('Input Information'!$H$4="R", VLOOKUP(B4,'RESIDUAL MASTER SHEET'!$C$6:$H$45,6,FALSE)/1000,IF('Input Information'!$H$4="D",IFERROR(VLOOKUP(B4,'DISTILLATE MASTER SHEET'!$C$6:$H$49,6,FALSE)/1000,"For Residual Oil only")))</f>
        <v>0</v>
      </c>
      <c r="H4" s="119" t="s">
        <v>224</v>
      </c>
    </row>
    <row r="5" spans="1:8" s="120" customFormat="1" ht="15" customHeight="1">
      <c r="A5" s="121" t="s">
        <v>237</v>
      </c>
      <c r="B5" s="113" t="s">
        <v>50</v>
      </c>
      <c r="C5" s="114">
        <f>IF('Input Information'!$H$4="R", VLOOKUP(B5,'RESIDUAL MASTER SHEET'!$C$6:$H$45,3,FALSE),IF('Input Information'!$H$4="D",IFERROR(VLOOKUP(B5,'DISTILLATE MASTER SHEET'!$C$6:$H$49,3,FALSE),"For Residual Oil only")))</f>
        <v>7.9972236848073596E-3</v>
      </c>
      <c r="D5" s="115" t="s">
        <v>230</v>
      </c>
      <c r="E5" s="116" t="str">
        <f>IF('Input Information'!$H$4="R", VLOOKUP(B5,'RESIDUAL MASTER SHEET'!$C$6:$H$45,4,FALSE),IF('Input Information'!$H$4="D",IFERROR(VLOOKUP(B5,'DISTILLATE MASTER SHEET'!$C$6:$H$49,4,FALSE),"For Residual Oil only")))</f>
        <v>A</v>
      </c>
      <c r="F5" s="117">
        <f>'Input Information'!$B$33</f>
        <v>0</v>
      </c>
      <c r="G5" s="118">
        <f>IF('Input Information'!$H$4="R", VLOOKUP(B5,'RESIDUAL MASTER SHEET'!$C$6:$H$45,6,FALSE)/1000,IF('Input Information'!$H$4="D",IFERROR(VLOOKUP(B5,'DISTILLATE MASTER SHEET'!$C$6:$H$49,6,FALSE)/1000,"For Residual Oil only")))</f>
        <v>0</v>
      </c>
      <c r="H5" s="119" t="s">
        <v>224</v>
      </c>
    </row>
    <row r="6" spans="1:8" s="120" customFormat="1" ht="15" customHeight="1">
      <c r="A6" s="121" t="s">
        <v>238</v>
      </c>
      <c r="B6" s="113" t="s">
        <v>51</v>
      </c>
      <c r="C6" s="114">
        <f>IF('Input Information'!$H$4="R", VLOOKUP(B6,'RESIDUAL MASTER SHEET'!$C$6:$H$45,3,FALSE),IF('Input Information'!$H$4="D",IFERROR(VLOOKUP(B6,'DISTILLATE MASTER SHEET'!$C$6:$H$49,3,FALSE),"For Residual Oil only")))</f>
        <v>2.3965309214286368</v>
      </c>
      <c r="D6" s="115" t="s">
        <v>230</v>
      </c>
      <c r="E6" s="116" t="str">
        <f>IF('Input Information'!$H$4="R", VLOOKUP(B6,'RESIDUAL MASTER SHEET'!$C$6:$H$45,4,FALSE),IF('Input Information'!$H$4="D",IFERROR(VLOOKUP(B6,'DISTILLATE MASTER SHEET'!$C$6:$H$49,4,FALSE),"For Residual Oil only")))</f>
        <v>A</v>
      </c>
      <c r="F6" s="117">
        <f>'Input Information'!$B$33</f>
        <v>0</v>
      </c>
      <c r="G6" s="118">
        <f>IF('Input Information'!$H$4="R", VLOOKUP(B6,'RESIDUAL MASTER SHEET'!$C$6:$H$45,6,FALSE)/1000,IF('Input Information'!$H$4="D",IFERROR(VLOOKUP(B6,'DISTILLATE MASTER SHEET'!$C$6:$H$49,6,FALSE)/1000,"For Residual Oil only")))</f>
        <v>0</v>
      </c>
      <c r="H6" s="119" t="s">
        <v>224</v>
      </c>
    </row>
    <row r="7" spans="1:8" s="120" customFormat="1" ht="15" customHeight="1">
      <c r="A7" s="121" t="s">
        <v>292</v>
      </c>
      <c r="B7" s="113" t="s">
        <v>49</v>
      </c>
      <c r="C7" s="114">
        <f>IF('Input Information'!$H$4="R", VLOOKUP(B7,'RESIDUAL MASTER SHEET'!$C$6:$H$45,3,FALSE),IF('Input Information'!$H$4="D",IFERROR(VLOOKUP(B7,'DISTILLATE MASTER SHEET'!$C$6:$H$49,3,FALSE),"For Residual Oil only")))</f>
        <v>2.3965309214286371E-2</v>
      </c>
      <c r="D7" s="115" t="s">
        <v>229</v>
      </c>
      <c r="E7" s="116" t="str">
        <f>IF('Input Information'!$H$4="R", VLOOKUP(B7,'RESIDUAL MASTER SHEET'!$C$6:$H$45,4,FALSE),IF('Input Information'!$H$4="D",IFERROR(VLOOKUP(B7,'DISTILLATE MASTER SHEET'!$C$6:$H$49,4,FALSE),"For Residual Oil only")))</f>
        <v>E</v>
      </c>
      <c r="F7" s="117">
        <f>'Input Information'!$B$33</f>
        <v>0</v>
      </c>
      <c r="G7" s="118">
        <f>IF('Input Information'!$H$4="R", VLOOKUP(B7,'RESIDUAL MASTER SHEET'!$C$6:$H$45,6,FALSE)/1000,IF('Input Information'!$H$4="D",IFERROR(VLOOKUP(B7,'DISTILLATE MASTER SHEET'!$C$6:$H$49,6,FALSE)/1000,"For Residual Oil only")))</f>
        <v>0</v>
      </c>
      <c r="H7" s="119" t="s">
        <v>224</v>
      </c>
    </row>
    <row r="8" spans="1:8" s="120" customFormat="1" ht="15" customHeight="1">
      <c r="A8" s="121" t="s">
        <v>227</v>
      </c>
      <c r="B8" s="113" t="s">
        <v>55</v>
      </c>
      <c r="C8" s="114">
        <f>IF('Input Information'!$H$4="R", VLOOKUP(B8,'RESIDUAL MASTER SHEET'!$C$6:$H$45,3,FALSE),IF('Input Information'!$H$4="D",IFERROR(VLOOKUP(B8,'DISTILLATE MASTER SHEET'!$C$6:$H$49,3,FALSE),"For Residual Oil only")))</f>
        <v>0.23965309214286368</v>
      </c>
      <c r="D8" s="115" t="s">
        <v>229</v>
      </c>
      <c r="E8" s="116" t="str">
        <f>IF('Input Information'!$H$4="R", VLOOKUP(B8,'RESIDUAL MASTER SHEET'!$C$6:$H$45,4,FALSE),IF('Input Information'!$H$4="D",IFERROR(VLOOKUP(B8,'DISTILLATE MASTER SHEET'!$C$6:$H$49,4,FALSE),"For Residual Oil only")))</f>
        <v>A</v>
      </c>
      <c r="F8" s="117">
        <f>'Input Information'!$B$33</f>
        <v>0</v>
      </c>
      <c r="G8" s="118">
        <f>IF('Input Information'!$H$4="R", VLOOKUP(B8,'RESIDUAL MASTER SHEET'!$C$6:$H$45,6,FALSE)/1000,IF('Input Information'!$H$4="D",IFERROR(VLOOKUP(B8,'DISTILLATE MASTER SHEET'!$C$6:$H$49,6,FALSE)/1000,"For Residual Oil only")))</f>
        <v>0</v>
      </c>
      <c r="H8" s="119" t="s">
        <v>224</v>
      </c>
    </row>
    <row r="9" spans="1:8" s="120" customFormat="1" ht="15" customHeight="1">
      <c r="A9" s="122" t="s">
        <v>239</v>
      </c>
      <c r="B9" s="113" t="s">
        <v>47</v>
      </c>
      <c r="C9" s="114">
        <f>IF('Input Information'!$H$4="R", VLOOKUP(B9,'RESIDUAL MASTER SHEET'!$C$6:$H$45,3,FALSE),IF('Input Information'!$H$4="D",IFERROR(VLOOKUP(B9,'DISTILLATE MASTER SHEET'!$C$6:$H$49,3,FALSE),"For Residual Oil only")))</f>
        <v>0.11982654607143184</v>
      </c>
      <c r="D9" s="115" t="s">
        <v>229</v>
      </c>
      <c r="E9" s="116" t="str">
        <f>IF('Input Information'!$H$4="R", VLOOKUP(B9,'RESIDUAL MASTER SHEET'!$C$6:$H$45,4,FALSE),IF('Input Information'!$H$4="D",IFERROR(VLOOKUP(B9,'DISTILLATE MASTER SHEET'!$C$6:$H$49,4,FALSE),"For Residual Oil only")))</f>
        <v>E</v>
      </c>
      <c r="F9" s="117">
        <f>'Input Information'!$B$33</f>
        <v>0</v>
      </c>
      <c r="G9" s="118">
        <f>IF('Input Information'!$H$4="R", VLOOKUP(B9,'RESIDUAL MASTER SHEET'!$C$6:$H$45,6,FALSE)/1000,IF('Input Information'!$H$4="D",IFERROR(VLOOKUP(B9,'DISTILLATE MASTER SHEET'!$C$6:$H$49,6,FALSE)/1000,"For Residual Oil only")))</f>
        <v>0</v>
      </c>
      <c r="H9" s="119" t="s">
        <v>224</v>
      </c>
    </row>
    <row r="10" spans="1:8" s="120" customFormat="1" ht="15" customHeight="1">
      <c r="A10" s="122" t="s">
        <v>240</v>
      </c>
      <c r="B10" s="113" t="s">
        <v>48</v>
      </c>
      <c r="C10" s="114">
        <f>IF('Input Information'!$H$4="R", VLOOKUP(B10,'RESIDUAL MASTER SHEET'!$C$6:$H$45,3,FALSE),IF('Input Information'!$H$4="D",IFERROR(VLOOKUP(B10,'DISTILLATE MASTER SHEET'!$C$6:$H$49,3,FALSE),"For Residual Oil only")))</f>
        <v>2.995663651785796E-2</v>
      </c>
      <c r="D10" s="115" t="s">
        <v>229</v>
      </c>
      <c r="E10" s="116" t="str">
        <f>IF('Input Information'!$H$4="R", VLOOKUP(B10,'RESIDUAL MASTER SHEET'!$C$6:$H$45,4,FALSE),IF('Input Information'!$H$4="D",IFERROR(VLOOKUP(B10,'DISTILLATE MASTER SHEET'!$C$6:$H$49,4,FALSE),"For Residual Oil only")))</f>
        <v>E</v>
      </c>
      <c r="F10" s="117">
        <f>'Input Information'!$B$33</f>
        <v>0</v>
      </c>
      <c r="G10" s="118">
        <f>IF('Input Information'!$H$4="R", VLOOKUP(B10,'RESIDUAL MASTER SHEET'!$C$6:$H$45,6,FALSE)/1000,IF('Input Information'!$H$4="D",IFERROR(VLOOKUP(B10,'DISTILLATE MASTER SHEET'!$C$6:$H$49,6,FALSE)/1000,"For Residual Oil only")))</f>
        <v>0</v>
      </c>
      <c r="H10" s="119" t="s">
        <v>224</v>
      </c>
    </row>
    <row r="11" spans="1:8" ht="6" customHeight="1">
      <c r="A11" s="77"/>
      <c r="B11" s="105"/>
      <c r="C11" s="105"/>
      <c r="D11" s="105"/>
      <c r="E11" s="105"/>
      <c r="F11" s="105"/>
      <c r="G11" s="105"/>
      <c r="H11" s="105"/>
    </row>
    <row r="12" spans="1:8">
      <c r="A12" s="77" t="s">
        <v>280</v>
      </c>
    </row>
    <row r="13" spans="1:8">
      <c r="A13" s="64" t="s">
        <v>295</v>
      </c>
    </row>
  </sheetData>
  <sheetProtection password="CA53" sheet="1" objects="1" scenarios="1"/>
  <phoneticPr fontId="23" type="noConversion"/>
  <pageMargins left="0.7" right="0.7"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9"/>
  <sheetViews>
    <sheetView zoomScale="115" zoomScaleNormal="115" workbookViewId="0"/>
  </sheetViews>
  <sheetFormatPr defaultColWidth="9.5703125" defaultRowHeight="12.75"/>
  <cols>
    <col min="1" max="1" width="26.42578125" style="64" customWidth="1"/>
    <col min="2" max="2" width="14.28515625" style="64" bestFit="1" customWidth="1"/>
    <col min="3" max="3" width="20.28515625" style="64" customWidth="1"/>
    <col min="4" max="4" width="10.85546875" style="64" bestFit="1" customWidth="1"/>
    <col min="5" max="5" width="11.42578125" style="64" bestFit="1" customWidth="1"/>
    <col min="6" max="6" width="30.42578125" style="64" bestFit="1" customWidth="1"/>
    <col min="7" max="7" width="15.85546875" style="64" bestFit="1" customWidth="1"/>
    <col min="8" max="8" width="10.7109375" style="64" customWidth="1"/>
    <col min="9" max="16384" width="9.5703125" style="64"/>
  </cols>
  <sheetData>
    <row r="1" spans="1:8">
      <c r="A1" s="108" t="s">
        <v>205</v>
      </c>
      <c r="H1" s="70"/>
    </row>
    <row r="2" spans="1:8">
      <c r="H2" s="70"/>
    </row>
    <row r="3" spans="1:8" s="110" customFormat="1" ht="17.45" customHeight="1">
      <c r="A3" s="109" t="s">
        <v>199</v>
      </c>
      <c r="B3" s="72" t="s">
        <v>200</v>
      </c>
      <c r="C3" s="72" t="s">
        <v>278</v>
      </c>
      <c r="D3" s="72" t="s">
        <v>279</v>
      </c>
      <c r="E3" s="72" t="s">
        <v>201</v>
      </c>
      <c r="F3" s="72" t="s">
        <v>202</v>
      </c>
      <c r="G3" s="72" t="s">
        <v>210</v>
      </c>
      <c r="H3" s="72" t="s">
        <v>203</v>
      </c>
    </row>
    <row r="4" spans="1:8" s="110" customFormat="1" ht="17.45" customHeight="1">
      <c r="A4" s="111" t="s">
        <v>26</v>
      </c>
      <c r="B4" s="66" t="s">
        <v>27</v>
      </c>
      <c r="C4" s="101">
        <f>IF('Input Information'!$H$4="R", VLOOKUP(B4,'RESIDUAL MASTER SHEET'!$C$6:$H$45,3,FALSE),IF('Input Information'!$H$4="D",IFERROR(VLOOKUP(B4,'DISTILLATE MASTER SHEET'!$C$6:$H$49,3,FALSE),"For Residual Oil only")))</f>
        <v>2.5642880859286414E-5</v>
      </c>
      <c r="D4" s="81" t="s">
        <v>222</v>
      </c>
      <c r="E4" s="102" t="str">
        <f>IF('Input Information'!$H$4="R", VLOOKUP(B4,'RESIDUAL MASTER SHEET'!$C$6:$H$45,4,FALSE),IF('Input Information'!$H$4="D",IFERROR(VLOOKUP(B4,'DISTILLATE MASTER SHEET'!$C$6:$H$49,4,FALSE),"For Residual Oil only")))</f>
        <v>C</v>
      </c>
      <c r="F4" s="103">
        <f>'Input Information'!$B$33</f>
        <v>0</v>
      </c>
      <c r="G4" s="76">
        <f>IF('Input Information'!$H$4="R", VLOOKUP(B4,'RESIDUAL MASTER SHEET'!$C$6:$H$45,6,FALSE)/1000,IF('Input Information'!$H$4="D",IFERROR(VLOOKUP(B4,'DISTILLATE MASTER SHEET'!$C$6:$H$49,6,FALSE)/1000,"For Residual Oil only")))</f>
        <v>0</v>
      </c>
      <c r="H4" s="104" t="s">
        <v>224</v>
      </c>
    </row>
    <row r="5" spans="1:8" s="110" customFormat="1" ht="17.45" customHeight="1">
      <c r="A5" s="111" t="s">
        <v>29</v>
      </c>
      <c r="B5" s="66" t="s">
        <v>30</v>
      </c>
      <c r="C5" s="101">
        <f>IF('Input Information'!$H$4="R", VLOOKUP(B5,'RESIDUAL MASTER SHEET'!$C$6:$H$45,3,FALSE),IF('Input Information'!$H$4="D",IFERROR(VLOOKUP(B5,'DISTILLATE MASTER SHEET'!$C$6:$H$49,3,FALSE),"For Residual Oil only")))</f>
        <v>5.7516742114287287E-3</v>
      </c>
      <c r="D5" s="81" t="s">
        <v>222</v>
      </c>
      <c r="E5" s="102" t="str">
        <f>IF('Input Information'!$H$4="R", VLOOKUP(B5,'RESIDUAL MASTER SHEET'!$C$6:$H$45,4,FALSE),IF('Input Information'!$H$4="D",IFERROR(VLOOKUP(B5,'DISTILLATE MASTER SHEET'!$C$6:$H$49,4,FALSE),"For Residual Oil only")))</f>
        <v>E</v>
      </c>
      <c r="F5" s="103">
        <f>'Input Information'!$B$33</f>
        <v>0</v>
      </c>
      <c r="G5" s="76">
        <f>IF('Input Information'!$H$4="R", VLOOKUP(B5,'RESIDUAL MASTER SHEET'!$C$6:$H$45,6,FALSE)/1000,IF('Input Information'!$H$4="D",IFERROR(VLOOKUP(B5,'DISTILLATE MASTER SHEET'!$C$6:$H$49,6,FALSE)/1000,"For Residual Oil only")))</f>
        <v>0</v>
      </c>
      <c r="H5" s="104" t="s">
        <v>224</v>
      </c>
    </row>
    <row r="6" spans="1:8" s="110" customFormat="1" ht="17.45" customHeight="1">
      <c r="A6" s="111" t="s">
        <v>75</v>
      </c>
      <c r="B6" s="66" t="s">
        <v>76</v>
      </c>
      <c r="C6" s="101">
        <f>IF('Input Information'!$H$4="R", VLOOKUP(B6,'RESIDUAL MASTER SHEET'!$C$6:$H$45,3,FALSE),IF('Input Information'!$H$4="D",IFERROR(VLOOKUP(B6,'DISTILLATE MASTER SHEET'!$C$6:$H$49,3,FALSE),"For Residual Oil only")))</f>
        <v>7.4292458564287735E-4</v>
      </c>
      <c r="D6" s="81" t="s">
        <v>222</v>
      </c>
      <c r="E6" s="102" t="str">
        <f>IF('Input Information'!$H$4="R", VLOOKUP(B6,'RESIDUAL MASTER SHEET'!$C$6:$H$45,4,FALSE),IF('Input Information'!$H$4="D",IFERROR(VLOOKUP(B6,'DISTILLATE MASTER SHEET'!$C$6:$H$49,4,FALSE),"For Residual Oil only")))</f>
        <v>D</v>
      </c>
      <c r="F6" s="103">
        <f>'Input Information'!$B$33</f>
        <v>0</v>
      </c>
      <c r="G6" s="76">
        <f>IF('Input Information'!$H$4="R", VLOOKUP(B6,'RESIDUAL MASTER SHEET'!$C$6:$H$45,6,FALSE)/1000,IF('Input Information'!$H$4="D",IFERROR(VLOOKUP(B6,'DISTILLATE MASTER SHEET'!$C$6:$H$49,6,FALSE)/1000,"For Residual Oil only")))</f>
        <v>0</v>
      </c>
      <c r="H6" s="104" t="s">
        <v>224</v>
      </c>
    </row>
    <row r="7" spans="1:8" s="110" customFormat="1" ht="17.45" customHeight="1">
      <c r="A7" s="111" t="s">
        <v>226</v>
      </c>
      <c r="B7" s="66" t="s">
        <v>77</v>
      </c>
      <c r="C7" s="101">
        <f>IF('Input Information'!$H$4="R", VLOOKUP(B7,'RESIDUAL MASTER SHEET'!$C$6:$H$45,3,FALSE),IF('Input Information'!$H$4="D",IFERROR(VLOOKUP(B7,'DISTILLATE MASTER SHEET'!$C$6:$H$49,3,FALSE),"For Residual Oil only")))</f>
        <v>1.3061093521786072E-5</v>
      </c>
      <c r="D7" s="81" t="s">
        <v>222</v>
      </c>
      <c r="E7" s="102" t="str">
        <f>IF('Input Information'!$H$4="R", VLOOKUP(B7,'RESIDUAL MASTER SHEET'!$C$6:$H$45,4,FALSE),IF('Input Information'!$H$4="D",IFERROR(VLOOKUP(B7,'DISTILLATE MASTER SHEET'!$C$6:$H$49,4,FALSE),"For Residual Oil only")))</f>
        <v>E</v>
      </c>
      <c r="F7" s="103">
        <f>'Input Information'!$B$33</f>
        <v>0</v>
      </c>
      <c r="G7" s="76">
        <f>IF('Input Information'!$H$4="R", VLOOKUP(B7,'RESIDUAL MASTER SHEET'!$C$6:$H$45,6,FALSE)/1000,IF('Input Information'!$H$4="D",IFERROR(VLOOKUP(B7,'DISTILLATE MASTER SHEET'!$C$6:$H$49,6,FALSE)/1000,"For Residual Oil only")))</f>
        <v>0</v>
      </c>
      <c r="H7" s="104" t="s">
        <v>224</v>
      </c>
    </row>
    <row r="8" spans="1:8" s="110" customFormat="1" ht="6" customHeight="1">
      <c r="A8" s="112"/>
      <c r="B8" s="85"/>
      <c r="C8" s="105"/>
      <c r="D8" s="105"/>
      <c r="E8" s="105"/>
      <c r="F8" s="105"/>
      <c r="G8" s="105"/>
      <c r="H8" s="105"/>
    </row>
    <row r="9" spans="1:8">
      <c r="A9" s="77" t="s">
        <v>280</v>
      </c>
    </row>
  </sheetData>
  <sheetProtection password="CA53" sheet="1" objects="1" scenarios="1"/>
  <pageMargins left="0.7" right="0.7"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115" zoomScaleNormal="115" workbookViewId="0"/>
  </sheetViews>
  <sheetFormatPr defaultColWidth="9.5703125" defaultRowHeight="12.75"/>
  <cols>
    <col min="1" max="1" width="25.5703125" style="64" customWidth="1"/>
    <col min="2" max="2" width="12" style="64" customWidth="1"/>
    <col min="3" max="3" width="10.28515625" style="64" bestFit="1" customWidth="1"/>
    <col min="4" max="4" width="19.5703125" style="64" bestFit="1" customWidth="1"/>
    <col min="5" max="5" width="10" style="64" customWidth="1"/>
    <col min="6" max="6" width="10.42578125" style="64" customWidth="1"/>
    <col min="7" max="7" width="26" style="64" customWidth="1"/>
    <col min="8" max="8" width="16" style="64" customWidth="1"/>
    <col min="9" max="9" width="13.140625" style="64" customWidth="1"/>
    <col min="10" max="10" width="9.85546875" style="64" customWidth="1"/>
    <col min="11" max="16384" width="9.5703125" style="64"/>
  </cols>
  <sheetData>
    <row r="1" spans="1:10">
      <c r="A1" s="108" t="s">
        <v>270</v>
      </c>
      <c r="B1" s="108"/>
      <c r="C1" s="108"/>
      <c r="D1" s="108"/>
      <c r="E1" s="108"/>
      <c r="J1" s="70"/>
    </row>
    <row r="2" spans="1:10" ht="8.25" customHeight="1">
      <c r="A2" s="108"/>
      <c r="B2" s="108"/>
      <c r="C2" s="108"/>
      <c r="D2" s="108"/>
      <c r="E2" s="108"/>
      <c r="J2" s="70"/>
    </row>
    <row r="3" spans="1:10">
      <c r="A3" s="77" t="s">
        <v>282</v>
      </c>
      <c r="B3" s="108"/>
      <c r="C3" s="108"/>
      <c r="D3" s="108"/>
      <c r="E3" s="108"/>
      <c r="J3" s="70"/>
    </row>
    <row r="4" spans="1:10" ht="9.75" customHeight="1">
      <c r="J4" s="70"/>
    </row>
    <row r="5" spans="1:10" ht="15" customHeight="1">
      <c r="A5" s="52" t="s">
        <v>199</v>
      </c>
      <c r="B5" s="72" t="s">
        <v>200</v>
      </c>
      <c r="C5" s="72" t="s">
        <v>281</v>
      </c>
      <c r="D5" s="72" t="s">
        <v>278</v>
      </c>
      <c r="E5" s="72" t="s">
        <v>279</v>
      </c>
      <c r="F5" s="72" t="s">
        <v>201</v>
      </c>
      <c r="G5" s="72" t="s">
        <v>202</v>
      </c>
      <c r="H5" s="72" t="s">
        <v>271</v>
      </c>
      <c r="I5" s="72" t="s">
        <v>210</v>
      </c>
      <c r="J5" s="72" t="s">
        <v>203</v>
      </c>
    </row>
    <row r="6" spans="1:10" ht="15" customHeight="1">
      <c r="A6" s="228"/>
      <c r="B6" s="229"/>
      <c r="C6" s="229"/>
      <c r="D6" s="230"/>
      <c r="E6" s="231"/>
      <c r="F6" s="229"/>
      <c r="G6" s="75">
        <f>'Input Information'!$B$33</f>
        <v>0</v>
      </c>
      <c r="H6" s="204" t="s">
        <v>214</v>
      </c>
      <c r="I6" s="232"/>
      <c r="J6" s="231"/>
    </row>
    <row r="7" spans="1:10" ht="15" customHeight="1">
      <c r="A7" s="228"/>
      <c r="B7" s="229"/>
      <c r="C7" s="229"/>
      <c r="D7" s="230"/>
      <c r="E7" s="231"/>
      <c r="F7" s="229"/>
      <c r="G7" s="75">
        <f>'Input Information'!$B$33</f>
        <v>0</v>
      </c>
      <c r="H7" s="204" t="s">
        <v>214</v>
      </c>
      <c r="I7" s="232"/>
      <c r="J7" s="231"/>
    </row>
    <row r="8" spans="1:10" ht="15" customHeight="1">
      <c r="A8" s="228"/>
      <c r="B8" s="229"/>
      <c r="C8" s="229"/>
      <c r="D8" s="230"/>
      <c r="E8" s="231"/>
      <c r="F8" s="229"/>
      <c r="G8" s="75">
        <f>'Input Information'!$B$33</f>
        <v>0</v>
      </c>
      <c r="H8" s="204" t="s">
        <v>214</v>
      </c>
      <c r="I8" s="232"/>
      <c r="J8" s="231"/>
    </row>
    <row r="9" spans="1:10" ht="15" customHeight="1">
      <c r="A9" s="228"/>
      <c r="B9" s="229"/>
      <c r="C9" s="229"/>
      <c r="D9" s="230"/>
      <c r="E9" s="231"/>
      <c r="F9" s="229"/>
      <c r="G9" s="75">
        <f>'Input Information'!$B$33</f>
        <v>0</v>
      </c>
      <c r="H9" s="204" t="s">
        <v>214</v>
      </c>
      <c r="I9" s="232"/>
      <c r="J9" s="231"/>
    </row>
    <row r="10" spans="1:10" ht="15" customHeight="1">
      <c r="A10" s="228"/>
      <c r="B10" s="229"/>
      <c r="C10" s="229"/>
      <c r="D10" s="230"/>
      <c r="E10" s="231"/>
      <c r="F10" s="229"/>
      <c r="G10" s="75">
        <f>'Input Information'!$B$33</f>
        <v>0</v>
      </c>
      <c r="H10" s="204" t="s">
        <v>214</v>
      </c>
      <c r="I10" s="232"/>
      <c r="J10" s="231"/>
    </row>
    <row r="11" spans="1:10" ht="6" customHeight="1">
      <c r="A11" s="77"/>
      <c r="B11" s="78"/>
      <c r="C11" s="78"/>
      <c r="D11" s="78"/>
      <c r="E11" s="78"/>
      <c r="F11" s="78"/>
      <c r="G11" s="78"/>
      <c r="H11" s="78"/>
      <c r="I11" s="78"/>
      <c r="J11" s="78"/>
    </row>
    <row r="12" spans="1:10" ht="6" customHeight="1">
      <c r="A12" s="77"/>
      <c r="B12" s="78"/>
      <c r="C12" s="78"/>
      <c r="D12" s="78"/>
      <c r="E12" s="78"/>
      <c r="F12" s="78"/>
      <c r="G12" s="78"/>
      <c r="H12" s="78"/>
      <c r="I12" s="78"/>
      <c r="J12" s="78"/>
    </row>
    <row r="13" spans="1:10">
      <c r="A13" s="77" t="s">
        <v>280</v>
      </c>
    </row>
  </sheetData>
  <sheetProtection password="CA53" sheet="1" objects="1" scenarios="1"/>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1"/>
  <sheetViews>
    <sheetView zoomScaleNormal="100" workbookViewId="0">
      <selection activeCell="B2" sqref="B2"/>
    </sheetView>
  </sheetViews>
  <sheetFormatPr defaultColWidth="9.5703125" defaultRowHeight="14.25"/>
  <cols>
    <col min="1" max="1" width="1.5703125" style="140" customWidth="1"/>
    <col min="2" max="2" width="62.42578125" style="140" customWidth="1"/>
    <col min="3" max="5" width="22.7109375" style="140" customWidth="1"/>
    <col min="6" max="6" width="17.42578125" style="140" customWidth="1"/>
    <col min="7" max="7" width="21.42578125" style="140" customWidth="1"/>
    <col min="8" max="8" width="20.28515625" style="140" customWidth="1"/>
    <col min="9" max="9" width="3.7109375" style="140" customWidth="1"/>
    <col min="10" max="10" width="4.5703125" style="140" customWidth="1"/>
    <col min="11" max="11" width="11.28515625" style="140" customWidth="1"/>
    <col min="12" max="16384" width="9.5703125" style="140"/>
  </cols>
  <sheetData>
    <row r="2" spans="2:12" ht="26.25" customHeight="1">
      <c r="B2" s="139" t="s">
        <v>103</v>
      </c>
    </row>
    <row r="3" spans="2:12" ht="5.25" customHeight="1"/>
    <row r="4" spans="2:12" ht="36" customHeight="1">
      <c r="B4" s="266" t="s">
        <v>23</v>
      </c>
      <c r="C4" s="267" t="s">
        <v>200</v>
      </c>
      <c r="D4" s="268" t="s">
        <v>24</v>
      </c>
      <c r="E4" s="268"/>
      <c r="F4" s="270" t="s">
        <v>216</v>
      </c>
      <c r="G4" s="141" t="s">
        <v>164</v>
      </c>
      <c r="H4" s="141" t="s">
        <v>165</v>
      </c>
      <c r="K4" s="269" t="s">
        <v>84</v>
      </c>
      <c r="L4" s="269" t="s">
        <v>85</v>
      </c>
    </row>
    <row r="5" spans="2:12" ht="16.5">
      <c r="B5" s="266"/>
      <c r="C5" s="267"/>
      <c r="D5" s="151" t="s">
        <v>250</v>
      </c>
      <c r="E5" s="151" t="s">
        <v>251</v>
      </c>
      <c r="F5" s="271"/>
      <c r="G5" s="142" t="s">
        <v>25</v>
      </c>
      <c r="H5" s="143" t="s">
        <v>25</v>
      </c>
      <c r="K5" s="269"/>
      <c r="L5" s="269"/>
    </row>
    <row r="6" spans="2:12" ht="18.75">
      <c r="B6" s="144" t="s">
        <v>252</v>
      </c>
      <c r="C6" s="145" t="s">
        <v>50</v>
      </c>
      <c r="D6" s="146" t="str">
        <f>IF('Input Information'!$H$4="R",F56,"Distillate Master Sheet")</f>
        <v>Distillate Master Sheet</v>
      </c>
      <c r="E6" s="147" t="str">
        <f>IFERROR(D6*(264.172/2.20462/1000),"")</f>
        <v/>
      </c>
      <c r="F6" s="148" t="s">
        <v>218</v>
      </c>
      <c r="G6" s="149" t="str">
        <f>IF(E6="","",'Input Information'!$B$33*E6)</f>
        <v/>
      </c>
      <c r="H6" s="150" t="str">
        <f>IFERROR((1-('Input Information'!D59/100))*G6,"")</f>
        <v/>
      </c>
      <c r="K6" s="238">
        <v>4</v>
      </c>
      <c r="L6" s="238" t="s">
        <v>87</v>
      </c>
    </row>
    <row r="7" spans="2:12" ht="18.75">
      <c r="B7" s="144" t="s">
        <v>253</v>
      </c>
      <c r="C7" s="145" t="s">
        <v>51</v>
      </c>
      <c r="D7" s="146" t="str">
        <f>IF('Input Information'!$H$4="R",F57,"Distillate Master Sheet")</f>
        <v>Distillate Master Sheet</v>
      </c>
      <c r="E7" s="147" t="str">
        <f t="shared" ref="E7:E12" si="0">IFERROR(D7*(264.172/2.20462/1000),"")</f>
        <v/>
      </c>
      <c r="F7" s="148" t="s">
        <v>218</v>
      </c>
      <c r="G7" s="149" t="str">
        <f>IF(E7="","",'Input Information'!$B$33*E7)</f>
        <v/>
      </c>
      <c r="H7" s="150" t="str">
        <f>IFERROR((1-('Input Information'!D55/100))*G7,"")</f>
        <v/>
      </c>
      <c r="K7" s="238">
        <v>4</v>
      </c>
      <c r="L7" s="238" t="s">
        <v>87</v>
      </c>
    </row>
    <row r="8" spans="2:12" ht="15">
      <c r="B8" s="144" t="s">
        <v>228</v>
      </c>
      <c r="C8" s="145" t="s">
        <v>53</v>
      </c>
      <c r="D8" s="146" t="str">
        <f>IF('Input Information'!$H$4="R",F58,"Distillate Master Sheet")</f>
        <v>Distillate Master Sheet</v>
      </c>
      <c r="E8" s="147" t="str">
        <f t="shared" si="0"/>
        <v/>
      </c>
      <c r="F8" s="148" t="s">
        <v>218</v>
      </c>
      <c r="G8" s="149" t="str">
        <f>IF(E8="","",'Input Information'!$B$33*E8)</f>
        <v/>
      </c>
      <c r="H8" s="150" t="str">
        <f>IFERROR((1-('Input Information'!D63/100))*G8,"")</f>
        <v/>
      </c>
      <c r="K8" s="238">
        <v>4</v>
      </c>
      <c r="L8" s="238" t="s">
        <v>87</v>
      </c>
    </row>
    <row r="9" spans="2:12" ht="15">
      <c r="B9" s="144" t="s">
        <v>227</v>
      </c>
      <c r="C9" s="145" t="s">
        <v>55</v>
      </c>
      <c r="D9" s="146" t="str">
        <f>IF('Input Information'!$H$4="R",F59,"Distillate Master Sheet")</f>
        <v>Distillate Master Sheet</v>
      </c>
      <c r="E9" s="147" t="str">
        <f t="shared" si="0"/>
        <v/>
      </c>
      <c r="F9" s="152" t="str">
        <f>F60</f>
        <v>B</v>
      </c>
      <c r="G9" s="149" t="str">
        <f>IF(E9="","",'Input Information'!$B$33*E9)</f>
        <v/>
      </c>
      <c r="H9" s="150" t="str">
        <f>IFERROR((1-('Input Information'!$D$67/100))*G9,"")</f>
        <v/>
      </c>
      <c r="K9" s="238">
        <v>4</v>
      </c>
      <c r="L9" s="238" t="s">
        <v>87</v>
      </c>
    </row>
    <row r="10" spans="2:12" ht="18.75">
      <c r="B10" s="153" t="s">
        <v>254</v>
      </c>
      <c r="C10" s="154" t="s">
        <v>47</v>
      </c>
      <c r="D10" s="155" t="str">
        <f>IF('Input Information'!$H$4="R",G79,"Distillate Master Sheet")</f>
        <v>Distillate Master Sheet</v>
      </c>
      <c r="E10" s="147" t="str">
        <f t="shared" si="0"/>
        <v/>
      </c>
      <c r="F10" s="152" t="str">
        <f>G80</f>
        <v>D</v>
      </c>
      <c r="G10" s="149" t="str">
        <f>IF(E10="","",'Input Information'!$B$33*E10)</f>
        <v/>
      </c>
      <c r="H10" s="150" t="str">
        <f>IFERROR((1-('Input Information'!$D$67/100))*G10,"")</f>
        <v/>
      </c>
      <c r="K10" s="238">
        <v>4</v>
      </c>
      <c r="L10" s="238" t="s">
        <v>87</v>
      </c>
    </row>
    <row r="11" spans="2:12" ht="18.75">
      <c r="B11" s="153" t="s">
        <v>255</v>
      </c>
      <c r="C11" s="154" t="s">
        <v>48</v>
      </c>
      <c r="D11" s="155" t="str">
        <f>IF('Input Information'!$H$4="R",G88,"Distillate Master Sheet")</f>
        <v>Distillate Master Sheet</v>
      </c>
      <c r="E11" s="147" t="str">
        <f t="shared" si="0"/>
        <v/>
      </c>
      <c r="F11" s="152" t="str">
        <f>G89</f>
        <v>D</v>
      </c>
      <c r="G11" s="149" t="str">
        <f>IF(E11="","",'Input Information'!$B$33*E11)</f>
        <v/>
      </c>
      <c r="H11" s="150" t="str">
        <f>IFERROR((1-('Input Information'!$D$67/100))*G11,"")</f>
        <v/>
      </c>
      <c r="K11" s="238">
        <v>4</v>
      </c>
      <c r="L11" s="238" t="s">
        <v>87</v>
      </c>
    </row>
    <row r="12" spans="2:12" ht="15">
      <c r="B12" s="144" t="s">
        <v>292</v>
      </c>
      <c r="C12" s="156" t="s">
        <v>49</v>
      </c>
      <c r="D12" s="155" t="str">
        <f>IF('Input Information'!$H$4="R",G97,"Distillate Master Sheet")</f>
        <v>Distillate Master Sheet</v>
      </c>
      <c r="E12" s="147" t="str">
        <f t="shared" si="0"/>
        <v/>
      </c>
      <c r="F12" s="152" t="str">
        <f>G98</f>
        <v>A</v>
      </c>
      <c r="G12" s="149" t="str">
        <f>IF(E12="","",'Input Information'!$B$33*E12)</f>
        <v/>
      </c>
      <c r="H12" s="150" t="str">
        <f>G12</f>
        <v/>
      </c>
      <c r="K12" s="238">
        <v>4</v>
      </c>
      <c r="L12" s="238" t="s">
        <v>87</v>
      </c>
    </row>
    <row r="13" spans="2:12" ht="15">
      <c r="B13" s="157" t="s">
        <v>56</v>
      </c>
      <c r="C13" s="154" t="s">
        <v>57</v>
      </c>
      <c r="D13" s="158">
        <v>1.22E-6</v>
      </c>
      <c r="E13" s="147">
        <f t="shared" ref="E13:E44" si="1">D13*(264.172/2.20462/1000)</f>
        <v>1.4618838620714684E-7</v>
      </c>
      <c r="F13" s="148" t="s">
        <v>118</v>
      </c>
      <c r="G13" s="149">
        <f>'Input Information'!$B$33*'RESIDUAL MASTER SHEET'!E13</f>
        <v>0</v>
      </c>
      <c r="H13" s="150">
        <f t="shared" ref="H13:H43" si="2">G13</f>
        <v>0</v>
      </c>
      <c r="K13" s="238">
        <v>2</v>
      </c>
      <c r="L13" s="238" t="s">
        <v>87</v>
      </c>
    </row>
    <row r="14" spans="2:12" ht="15">
      <c r="B14" s="157" t="s">
        <v>89</v>
      </c>
      <c r="C14" s="159" t="s">
        <v>88</v>
      </c>
      <c r="D14" s="158">
        <v>5.2500000000000003E-3</v>
      </c>
      <c r="E14" s="147">
        <f t="shared" si="1"/>
        <v>6.2908936687501723E-4</v>
      </c>
      <c r="F14" s="148" t="s">
        <v>219</v>
      </c>
      <c r="G14" s="149">
        <f>'Input Information'!$B$33*'RESIDUAL MASTER SHEET'!E14</f>
        <v>0</v>
      </c>
      <c r="H14" s="150">
        <f>(1-('Input Information'!$D$67/100))*G14</f>
        <v>0</v>
      </c>
      <c r="K14" s="238" t="s">
        <v>86</v>
      </c>
      <c r="L14" s="238" t="s">
        <v>87</v>
      </c>
    </row>
    <row r="15" spans="2:12" ht="15">
      <c r="B15" s="157" t="s">
        <v>37</v>
      </c>
      <c r="C15" s="159" t="s">
        <v>38</v>
      </c>
      <c r="D15" s="158">
        <v>1.32E-3</v>
      </c>
      <c r="E15" s="147">
        <f t="shared" si="1"/>
        <v>1.5817104081429002E-4</v>
      </c>
      <c r="F15" s="148" t="s">
        <v>118</v>
      </c>
      <c r="G15" s="149">
        <f>'Input Information'!$B$33*'RESIDUAL MASTER SHEET'!E15</f>
        <v>0</v>
      </c>
      <c r="H15" s="150">
        <f>(1-('Input Information'!$D$67/100))*G15</f>
        <v>0</v>
      </c>
      <c r="K15" s="238" t="s">
        <v>93</v>
      </c>
      <c r="L15" s="238" t="s">
        <v>87</v>
      </c>
    </row>
    <row r="16" spans="2:12" ht="15">
      <c r="B16" s="157" t="s">
        <v>26</v>
      </c>
      <c r="C16" s="159" t="s">
        <v>27</v>
      </c>
      <c r="D16" s="158">
        <v>2.14E-4</v>
      </c>
      <c r="E16" s="147">
        <f t="shared" si="1"/>
        <v>2.5642880859286414E-5</v>
      </c>
      <c r="F16" s="148" t="s">
        <v>118</v>
      </c>
      <c r="G16" s="149">
        <f>'Input Information'!$B$33*'RESIDUAL MASTER SHEET'!E16</f>
        <v>0</v>
      </c>
      <c r="H16" s="150">
        <f t="shared" si="2"/>
        <v>0</v>
      </c>
      <c r="K16" s="238" t="s">
        <v>86</v>
      </c>
      <c r="L16" s="238">
        <v>5</v>
      </c>
    </row>
    <row r="17" spans="2:12" ht="15">
      <c r="B17" s="157" t="s">
        <v>304</v>
      </c>
      <c r="C17" s="159" t="s">
        <v>58</v>
      </c>
      <c r="D17" s="158">
        <v>4.0099999999999997E-6</v>
      </c>
      <c r="E17" s="147">
        <f t="shared" si="1"/>
        <v>4.8050444974644168E-7</v>
      </c>
      <c r="F17" s="148" t="s">
        <v>118</v>
      </c>
      <c r="G17" s="149">
        <f>'Input Information'!$B$33*'RESIDUAL MASTER SHEET'!E17</f>
        <v>0</v>
      </c>
      <c r="H17" s="150">
        <f t="shared" si="2"/>
        <v>0</v>
      </c>
      <c r="K17" s="238">
        <v>2</v>
      </c>
      <c r="L17" s="238" t="s">
        <v>87</v>
      </c>
    </row>
    <row r="18" spans="2:12" ht="15">
      <c r="B18" s="157" t="s">
        <v>303</v>
      </c>
      <c r="C18" s="159" t="s">
        <v>59</v>
      </c>
      <c r="D18" s="158">
        <v>2.3800000000000001E-6</v>
      </c>
      <c r="E18" s="147">
        <f t="shared" si="1"/>
        <v>2.851871796500078E-7</v>
      </c>
      <c r="F18" s="148" t="s">
        <v>118</v>
      </c>
      <c r="G18" s="149">
        <f>'Input Information'!$B$33*'RESIDUAL MASTER SHEET'!E18</f>
        <v>0</v>
      </c>
      <c r="H18" s="150">
        <f t="shared" si="2"/>
        <v>0</v>
      </c>
      <c r="K18" s="238">
        <v>2</v>
      </c>
      <c r="L18" s="238" t="s">
        <v>87</v>
      </c>
    </row>
    <row r="19" spans="2:12" ht="15">
      <c r="B19" s="157" t="s">
        <v>300</v>
      </c>
      <c r="C19" s="159" t="s">
        <v>60</v>
      </c>
      <c r="D19" s="158">
        <v>1.48E-6</v>
      </c>
      <c r="E19" s="147">
        <f t="shared" si="1"/>
        <v>1.7734328818571913E-7</v>
      </c>
      <c r="F19" s="148" t="s">
        <v>118</v>
      </c>
      <c r="G19" s="149">
        <f>'Input Information'!$B$33*'RESIDUAL MASTER SHEET'!E19</f>
        <v>0</v>
      </c>
      <c r="H19" s="150">
        <f t="shared" si="2"/>
        <v>0</v>
      </c>
      <c r="K19" s="238">
        <v>2</v>
      </c>
      <c r="L19" s="238" t="s">
        <v>87</v>
      </c>
    </row>
    <row r="20" spans="2:12" ht="15">
      <c r="B20" s="157" t="s">
        <v>298</v>
      </c>
      <c r="C20" s="159" t="s">
        <v>61</v>
      </c>
      <c r="D20" s="158">
        <v>2.26E-6</v>
      </c>
      <c r="E20" s="147">
        <f t="shared" si="1"/>
        <v>2.7080799412143594E-7</v>
      </c>
      <c r="F20" s="148" t="s">
        <v>118</v>
      </c>
      <c r="G20" s="149">
        <f>'Input Information'!$B$33*'RESIDUAL MASTER SHEET'!E20</f>
        <v>0</v>
      </c>
      <c r="H20" s="150">
        <f t="shared" si="2"/>
        <v>0</v>
      </c>
      <c r="K20" s="238">
        <v>2</v>
      </c>
      <c r="L20" s="238" t="s">
        <v>87</v>
      </c>
    </row>
    <row r="21" spans="2:12" ht="15">
      <c r="B21" s="157" t="s">
        <v>299</v>
      </c>
      <c r="C21" s="159" t="s">
        <v>62</v>
      </c>
      <c r="D21" s="158">
        <v>1.48E-6</v>
      </c>
      <c r="E21" s="147">
        <f t="shared" si="1"/>
        <v>1.7734328818571913E-7</v>
      </c>
      <c r="F21" s="148" t="s">
        <v>118</v>
      </c>
      <c r="G21" s="149">
        <f>'Input Information'!$B$33*'RESIDUAL MASTER SHEET'!E21</f>
        <v>0</v>
      </c>
      <c r="H21" s="150">
        <f t="shared" si="2"/>
        <v>0</v>
      </c>
      <c r="K21" s="238">
        <v>2</v>
      </c>
      <c r="L21" s="238" t="s">
        <v>87</v>
      </c>
    </row>
    <row r="22" spans="2:12" ht="15">
      <c r="B22" s="157" t="s">
        <v>39</v>
      </c>
      <c r="C22" s="159" t="s">
        <v>40</v>
      </c>
      <c r="D22" s="158">
        <v>3.9800000000000002E-4</v>
      </c>
      <c r="E22" s="147">
        <f t="shared" si="1"/>
        <v>4.7690965336429878E-5</v>
      </c>
      <c r="F22" s="148" t="s">
        <v>118</v>
      </c>
      <c r="G22" s="149">
        <f>'Input Information'!$B$33*'RESIDUAL MASTER SHEET'!E22</f>
        <v>0</v>
      </c>
      <c r="H22" s="150">
        <f>(1-('Input Information'!$D$67/100))*G22</f>
        <v>0</v>
      </c>
      <c r="K22" s="238" t="s">
        <v>93</v>
      </c>
      <c r="L22" s="238" t="s">
        <v>87</v>
      </c>
    </row>
    <row r="23" spans="2:12" ht="15">
      <c r="B23" s="157" t="s">
        <v>107</v>
      </c>
      <c r="C23" s="159" t="s">
        <v>28</v>
      </c>
      <c r="D23" s="158">
        <v>8.4500000000000005E-4</v>
      </c>
      <c r="E23" s="147">
        <f t="shared" si="1"/>
        <v>1.012534314303599E-4</v>
      </c>
      <c r="F23" s="148" t="s">
        <v>118</v>
      </c>
      <c r="G23" s="149">
        <f>'Input Information'!$B$33*'RESIDUAL MASTER SHEET'!E23</f>
        <v>0</v>
      </c>
      <c r="H23" s="150">
        <f>(1-('Input Information'!$D$67/100))*G23</f>
        <v>0</v>
      </c>
      <c r="K23" s="238" t="s">
        <v>86</v>
      </c>
      <c r="L23" s="238" t="s">
        <v>87</v>
      </c>
    </row>
    <row r="24" spans="2:12" ht="15">
      <c r="B24" s="157" t="s">
        <v>95</v>
      </c>
      <c r="C24" s="159" t="s">
        <v>94</v>
      </c>
      <c r="D24" s="146">
        <v>6.0200000000000002E-3</v>
      </c>
      <c r="E24" s="147">
        <f t="shared" si="1"/>
        <v>7.2135580735001965E-4</v>
      </c>
      <c r="F24" s="148" t="s">
        <v>153</v>
      </c>
      <c r="G24" s="149">
        <f>'Input Information'!$B$33*'RESIDUAL MASTER SHEET'!E24</f>
        <v>0</v>
      </c>
      <c r="H24" s="150">
        <f>(1-('Input Information'!$D$67/100))*G24</f>
        <v>0</v>
      </c>
      <c r="K24" s="238" t="s">
        <v>93</v>
      </c>
      <c r="L24" s="238" t="s">
        <v>87</v>
      </c>
    </row>
    <row r="25" spans="2:12" ht="15">
      <c r="B25" s="157" t="s">
        <v>80</v>
      </c>
      <c r="C25" s="159" t="s">
        <v>81</v>
      </c>
      <c r="D25" s="158">
        <v>1.7600000000000001E-3</v>
      </c>
      <c r="E25" s="147">
        <f t="shared" si="1"/>
        <v>2.1089472108572004E-4</v>
      </c>
      <c r="F25" s="148" t="s">
        <v>118</v>
      </c>
      <c r="G25" s="149">
        <f>'Input Information'!$B$33*'RESIDUAL MASTER SHEET'!E25</f>
        <v>0</v>
      </c>
      <c r="H25" s="150">
        <f>(1-('Input Information'!$D$67/100))*G25</f>
        <v>0</v>
      </c>
      <c r="K25" s="238" t="s">
        <v>86</v>
      </c>
      <c r="L25" s="238" t="s">
        <v>87</v>
      </c>
    </row>
    <row r="26" spans="2:12" ht="15">
      <c r="B26" s="157" t="s">
        <v>301</v>
      </c>
      <c r="C26" s="159" t="s">
        <v>63</v>
      </c>
      <c r="D26" s="158">
        <v>1.6700000000000001E-6</v>
      </c>
      <c r="E26" s="147">
        <f t="shared" si="1"/>
        <v>2.0011033193929119E-7</v>
      </c>
      <c r="F26" s="148" t="s">
        <v>153</v>
      </c>
      <c r="G26" s="149">
        <f>'Input Information'!$B$33*'RESIDUAL MASTER SHEET'!E26</f>
        <v>0</v>
      </c>
      <c r="H26" s="150">
        <f t="shared" si="2"/>
        <v>0</v>
      </c>
      <c r="K26" s="238">
        <v>2</v>
      </c>
      <c r="L26" s="238" t="s">
        <v>87</v>
      </c>
    </row>
    <row r="27" spans="2:12" ht="15">
      <c r="B27" s="157" t="s">
        <v>64</v>
      </c>
      <c r="C27" s="159" t="s">
        <v>65</v>
      </c>
      <c r="D27" s="158">
        <v>6.3600000000000001E-5</v>
      </c>
      <c r="E27" s="147">
        <f t="shared" si="1"/>
        <v>7.6209683301430652E-6</v>
      </c>
      <c r="F27" s="148" t="s">
        <v>219</v>
      </c>
      <c r="G27" s="149">
        <f>'Input Information'!$B$33*'RESIDUAL MASTER SHEET'!E27</f>
        <v>0</v>
      </c>
      <c r="H27" s="150">
        <f t="shared" si="2"/>
        <v>0</v>
      </c>
      <c r="K27" s="238" t="s">
        <v>86</v>
      </c>
      <c r="L27" s="238" t="s">
        <v>87</v>
      </c>
    </row>
    <row r="28" spans="2:12" ht="15">
      <c r="B28" s="157" t="s">
        <v>66</v>
      </c>
      <c r="C28" s="159" t="s">
        <v>67</v>
      </c>
      <c r="D28" s="158">
        <v>4.8400000000000002E-6</v>
      </c>
      <c r="E28" s="147">
        <f t="shared" si="1"/>
        <v>5.7996048298573011E-7</v>
      </c>
      <c r="F28" s="148" t="s">
        <v>118</v>
      </c>
      <c r="G28" s="149">
        <f>'Input Information'!$B$33*'RESIDUAL MASTER SHEET'!E28</f>
        <v>0</v>
      </c>
      <c r="H28" s="150">
        <f t="shared" si="2"/>
        <v>0</v>
      </c>
      <c r="K28" s="238">
        <v>2</v>
      </c>
      <c r="L28" s="238" t="s">
        <v>87</v>
      </c>
    </row>
    <row r="29" spans="2:12" ht="15">
      <c r="B29" s="157" t="s">
        <v>29</v>
      </c>
      <c r="C29" s="159" t="s">
        <v>30</v>
      </c>
      <c r="D29" s="158">
        <f>IF($F$66="U", 0.033,AVERAGE(0.024,0.061))</f>
        <v>4.2499999999999996E-2</v>
      </c>
      <c r="E29" s="147">
        <f t="shared" si="1"/>
        <v>5.0926282080358525E-3</v>
      </c>
      <c r="F29" s="148" t="s">
        <v>219</v>
      </c>
      <c r="G29" s="149">
        <f>'Input Information'!$B$33*'RESIDUAL MASTER SHEET'!E29</f>
        <v>0</v>
      </c>
      <c r="H29" s="150">
        <f t="shared" si="2"/>
        <v>0</v>
      </c>
      <c r="K29" s="238" t="s">
        <v>86</v>
      </c>
      <c r="L29" s="238">
        <v>5</v>
      </c>
    </row>
    <row r="30" spans="2:12" ht="15">
      <c r="B30" s="157" t="s">
        <v>293</v>
      </c>
      <c r="C30" s="159" t="s">
        <v>96</v>
      </c>
      <c r="D30" s="158">
        <v>2.4800000000000001E-4</v>
      </c>
      <c r="E30" s="147">
        <f t="shared" si="1"/>
        <v>2.9716983425715097E-5</v>
      </c>
      <c r="F30" s="148" t="s">
        <v>118</v>
      </c>
      <c r="G30" s="149">
        <f>'Input Information'!$B$33*'RESIDUAL MASTER SHEET'!E30</f>
        <v>0</v>
      </c>
      <c r="H30" s="150">
        <f>(1-('Input Information'!$D$67/100))*G30</f>
        <v>0</v>
      </c>
      <c r="K30" s="238" t="s">
        <v>93</v>
      </c>
      <c r="L30" s="238" t="s">
        <v>87</v>
      </c>
    </row>
    <row r="31" spans="2:12" ht="15">
      <c r="B31" s="157" t="s">
        <v>302</v>
      </c>
      <c r="C31" s="159" t="s">
        <v>68</v>
      </c>
      <c r="D31" s="158">
        <v>2.1399999999999998E-6</v>
      </c>
      <c r="E31" s="147">
        <f t="shared" si="1"/>
        <v>2.5642880859286413E-7</v>
      </c>
      <c r="F31" s="148" t="s">
        <v>118</v>
      </c>
      <c r="G31" s="149">
        <f>'Input Information'!$B$33*'RESIDUAL MASTER SHEET'!E31</f>
        <v>0</v>
      </c>
      <c r="H31" s="150">
        <f t="shared" si="2"/>
        <v>0</v>
      </c>
      <c r="K31" s="238">
        <v>2</v>
      </c>
      <c r="L31" s="238" t="s">
        <v>87</v>
      </c>
    </row>
    <row r="32" spans="2:12" ht="15">
      <c r="B32" s="157" t="s">
        <v>108</v>
      </c>
      <c r="C32" s="159" t="s">
        <v>42</v>
      </c>
      <c r="D32" s="158">
        <v>1.5100000000000001E-3</v>
      </c>
      <c r="E32" s="147">
        <f t="shared" si="1"/>
        <v>1.8093808456786208E-4</v>
      </c>
      <c r="F32" s="148" t="s">
        <v>118</v>
      </c>
      <c r="G32" s="149">
        <f>'Input Information'!$B$33*'RESIDUAL MASTER SHEET'!E32</f>
        <v>0</v>
      </c>
      <c r="H32" s="150">
        <f>(1-('Input Information'!$D$67/100))*G32</f>
        <v>0</v>
      </c>
      <c r="K32" s="238" t="s">
        <v>93</v>
      </c>
      <c r="L32" s="238" t="s">
        <v>87</v>
      </c>
    </row>
    <row r="33" spans="2:12" ht="15">
      <c r="B33" s="157" t="s">
        <v>31</v>
      </c>
      <c r="C33" s="159" t="s">
        <v>32</v>
      </c>
      <c r="D33" s="158">
        <v>3.0000000000000001E-3</v>
      </c>
      <c r="E33" s="147">
        <f t="shared" si="1"/>
        <v>3.5947963821429554E-4</v>
      </c>
      <c r="F33" s="148" t="s">
        <v>118</v>
      </c>
      <c r="G33" s="149">
        <f>'Input Information'!$B$33*'RESIDUAL MASTER SHEET'!E33</f>
        <v>0</v>
      </c>
      <c r="H33" s="150">
        <f>(1-('Input Information'!$D$67/100))*G33</f>
        <v>0</v>
      </c>
      <c r="K33" s="238" t="s">
        <v>86</v>
      </c>
      <c r="L33" s="238" t="s">
        <v>87</v>
      </c>
    </row>
    <row r="34" spans="2:12" ht="15">
      <c r="B34" s="157" t="s">
        <v>43</v>
      </c>
      <c r="C34" s="159" t="s">
        <v>44</v>
      </c>
      <c r="D34" s="158">
        <v>1.13E-4</v>
      </c>
      <c r="E34" s="147">
        <f t="shared" si="1"/>
        <v>1.3540399706071797E-5</v>
      </c>
      <c r="F34" s="148" t="s">
        <v>118</v>
      </c>
      <c r="G34" s="149">
        <f>'Input Information'!$B$33*'RESIDUAL MASTER SHEET'!E34</f>
        <v>0</v>
      </c>
      <c r="H34" s="150">
        <f>(1-('Input Information'!$D$67/100))*G34</f>
        <v>0</v>
      </c>
      <c r="K34" s="238" t="s">
        <v>93</v>
      </c>
      <c r="L34" s="238" t="s">
        <v>87</v>
      </c>
    </row>
    <row r="35" spans="2:12" ht="15">
      <c r="B35" s="157" t="s">
        <v>33</v>
      </c>
      <c r="C35" s="159" t="s">
        <v>34</v>
      </c>
      <c r="D35" s="158">
        <v>1.1299999999999999E-3</v>
      </c>
      <c r="E35" s="147">
        <f t="shared" si="1"/>
        <v>1.3540399706071796E-4</v>
      </c>
      <c r="F35" s="148" t="s">
        <v>118</v>
      </c>
      <c r="G35" s="149">
        <f>'Input Information'!$B$33*'RESIDUAL MASTER SHEET'!E35</f>
        <v>0</v>
      </c>
      <c r="H35" s="150">
        <f t="shared" si="2"/>
        <v>0</v>
      </c>
      <c r="K35" s="238" t="s">
        <v>86</v>
      </c>
      <c r="L35" s="238" t="s">
        <v>87</v>
      </c>
    </row>
    <row r="36" spans="2:12" ht="15">
      <c r="B36" s="157" t="s">
        <v>35</v>
      </c>
      <c r="C36" s="159" t="s">
        <v>36</v>
      </c>
      <c r="D36" s="158">
        <v>8.4500000000000006E-2</v>
      </c>
      <c r="E36" s="147">
        <f t="shared" si="1"/>
        <v>1.0125343143035991E-2</v>
      </c>
      <c r="F36" s="148" t="s">
        <v>118</v>
      </c>
      <c r="G36" s="149">
        <f>'Input Information'!$B$33*'RESIDUAL MASTER SHEET'!E36</f>
        <v>0</v>
      </c>
      <c r="H36" s="150">
        <f>(1-('Input Information'!$D$67/100))*G36</f>
        <v>0</v>
      </c>
      <c r="K36" s="238" t="s">
        <v>86</v>
      </c>
      <c r="L36" s="238" t="s">
        <v>87</v>
      </c>
    </row>
    <row r="37" spans="2:12" ht="15">
      <c r="B37" s="157" t="s">
        <v>69</v>
      </c>
      <c r="C37" s="159" t="s">
        <v>70</v>
      </c>
      <c r="D37" s="158">
        <v>3.1E-9</v>
      </c>
      <c r="E37" s="147">
        <f t="shared" si="1"/>
        <v>3.7146229282143872E-10</v>
      </c>
      <c r="F37" s="148" t="s">
        <v>219</v>
      </c>
      <c r="G37" s="149">
        <f>'Input Information'!$B$33*'RESIDUAL MASTER SHEET'!E37</f>
        <v>0</v>
      </c>
      <c r="H37" s="150">
        <f t="shared" si="2"/>
        <v>0</v>
      </c>
      <c r="K37" s="238">
        <v>3</v>
      </c>
      <c r="L37" s="238" t="s">
        <v>87</v>
      </c>
    </row>
    <row r="38" spans="2:12" ht="15">
      <c r="B38" s="157" t="s">
        <v>71</v>
      </c>
      <c r="C38" s="159" t="s">
        <v>72</v>
      </c>
      <c r="D38" s="158">
        <v>1.0499999999999999E-5</v>
      </c>
      <c r="E38" s="147">
        <f t="shared" si="1"/>
        <v>1.2581787337500342E-6</v>
      </c>
      <c r="F38" s="148" t="s">
        <v>118</v>
      </c>
      <c r="G38" s="149">
        <f>'Input Information'!$B$33*'RESIDUAL MASTER SHEET'!E38</f>
        <v>0</v>
      </c>
      <c r="H38" s="150">
        <f t="shared" si="2"/>
        <v>0</v>
      </c>
      <c r="K38" s="238">
        <v>2</v>
      </c>
      <c r="L38" s="238" t="s">
        <v>87</v>
      </c>
    </row>
    <row r="39" spans="2:12" ht="15">
      <c r="B39" s="157" t="s">
        <v>109</v>
      </c>
      <c r="C39" s="159" t="s">
        <v>90</v>
      </c>
      <c r="D39" s="158">
        <v>9.4599999999999997E-3</v>
      </c>
      <c r="E39" s="147">
        <f t="shared" si="1"/>
        <v>1.1335591258357452E-3</v>
      </c>
      <c r="F39" s="148" t="s">
        <v>153</v>
      </c>
      <c r="G39" s="149">
        <f>'Input Information'!$B$33*'RESIDUAL MASTER SHEET'!E39</f>
        <v>0</v>
      </c>
      <c r="H39" s="150">
        <f>(1-('Input Information'!$D$67/100))*G39</f>
        <v>0</v>
      </c>
      <c r="K39" s="238" t="s">
        <v>86</v>
      </c>
      <c r="L39" s="238" t="s">
        <v>87</v>
      </c>
    </row>
    <row r="40" spans="2:12" ht="15">
      <c r="B40" s="157" t="s">
        <v>73</v>
      </c>
      <c r="C40" s="159" t="s">
        <v>74</v>
      </c>
      <c r="D40" s="158">
        <v>4.25E-6</v>
      </c>
      <c r="E40" s="147">
        <f t="shared" si="1"/>
        <v>5.092628208035853E-7</v>
      </c>
      <c r="F40" s="148" t="s">
        <v>118</v>
      </c>
      <c r="G40" s="149">
        <f>'Input Information'!$B$33*'RESIDUAL MASTER SHEET'!E40</f>
        <v>0</v>
      </c>
      <c r="H40" s="150">
        <f t="shared" si="2"/>
        <v>0</v>
      </c>
      <c r="K40" s="238">
        <v>2</v>
      </c>
      <c r="L40" s="238" t="s">
        <v>87</v>
      </c>
    </row>
    <row r="41" spans="2:12" ht="15">
      <c r="B41" s="157" t="s">
        <v>45</v>
      </c>
      <c r="C41" s="159" t="s">
        <v>46</v>
      </c>
      <c r="D41" s="158">
        <v>6.8300000000000001E-4</v>
      </c>
      <c r="E41" s="147">
        <f t="shared" si="1"/>
        <v>8.1841530966787944E-5</v>
      </c>
      <c r="F41" s="148" t="s">
        <v>118</v>
      </c>
      <c r="G41" s="149">
        <f>'Input Information'!$B$33*'RESIDUAL MASTER SHEET'!E41</f>
        <v>0</v>
      </c>
      <c r="H41" s="150">
        <f>(1-('Input Information'!$D$67/100))*G41</f>
        <v>0</v>
      </c>
      <c r="K41" s="238" t="s">
        <v>93</v>
      </c>
      <c r="L41" s="238" t="s">
        <v>87</v>
      </c>
    </row>
    <row r="42" spans="2:12" ht="15">
      <c r="B42" s="157" t="s">
        <v>75</v>
      </c>
      <c r="C42" s="159" t="s">
        <v>76</v>
      </c>
      <c r="D42" s="158">
        <v>6.1999999999999998E-3</v>
      </c>
      <c r="E42" s="147">
        <f t="shared" si="1"/>
        <v>7.4292458564287735E-4</v>
      </c>
      <c r="F42" s="148" t="s">
        <v>153</v>
      </c>
      <c r="G42" s="149">
        <f>'Input Information'!$B$33*'RESIDUAL MASTER SHEET'!E42</f>
        <v>0</v>
      </c>
      <c r="H42" s="150">
        <f t="shared" si="2"/>
        <v>0</v>
      </c>
      <c r="K42" s="238" t="s">
        <v>86</v>
      </c>
      <c r="L42" s="238">
        <v>5</v>
      </c>
    </row>
    <row r="43" spans="2:12" ht="15">
      <c r="B43" s="160" t="s">
        <v>92</v>
      </c>
      <c r="C43" s="159" t="s">
        <v>77</v>
      </c>
      <c r="D43" s="158">
        <v>1.0900000000000001E-4</v>
      </c>
      <c r="E43" s="147">
        <f t="shared" si="1"/>
        <v>1.3061093521786072E-5</v>
      </c>
      <c r="F43" s="148" t="s">
        <v>219</v>
      </c>
      <c r="G43" s="149">
        <f>'Input Information'!$B$33*'RESIDUAL MASTER SHEET'!E43</f>
        <v>0</v>
      </c>
      <c r="H43" s="150">
        <f t="shared" si="2"/>
        <v>0</v>
      </c>
      <c r="K43" s="238" t="s">
        <v>86</v>
      </c>
      <c r="L43" s="238">
        <v>5</v>
      </c>
    </row>
    <row r="44" spans="2:12" ht="15">
      <c r="B44" s="157" t="s">
        <v>137</v>
      </c>
      <c r="C44" s="159" t="s">
        <v>91</v>
      </c>
      <c r="D44" s="158">
        <v>3.1800000000000002E-2</v>
      </c>
      <c r="E44" s="147">
        <f t="shared" si="1"/>
        <v>3.8104841650715327E-3</v>
      </c>
      <c r="F44" s="148" t="s">
        <v>153</v>
      </c>
      <c r="G44" s="149">
        <f>'Input Information'!$B$33*'RESIDUAL MASTER SHEET'!E44</f>
        <v>0</v>
      </c>
      <c r="H44" s="150">
        <f>(1-('Input Information'!$D$67/100))*G44</f>
        <v>0</v>
      </c>
      <c r="K44" s="238" t="s">
        <v>86</v>
      </c>
      <c r="L44" s="238" t="s">
        <v>87</v>
      </c>
    </row>
    <row r="45" spans="2:12" ht="15">
      <c r="B45" s="157" t="s">
        <v>82</v>
      </c>
      <c r="C45" s="159" t="s">
        <v>83</v>
      </c>
      <c r="D45" s="158">
        <v>2.9100000000000001E-2</v>
      </c>
      <c r="E45" s="147">
        <f>D45*(264.172/2.20462/1000)</f>
        <v>3.4869524906786667E-3</v>
      </c>
      <c r="F45" s="148" t="s">
        <v>153</v>
      </c>
      <c r="G45" s="149">
        <f>'Input Information'!$B$33*'RESIDUAL MASTER SHEET'!E45</f>
        <v>0</v>
      </c>
      <c r="H45" s="150">
        <f>(1-('Input Information'!$D$67/100))*G45</f>
        <v>0</v>
      </c>
      <c r="K45" s="238" t="s">
        <v>86</v>
      </c>
      <c r="L45" s="238" t="s">
        <v>87</v>
      </c>
    </row>
    <row r="46" spans="2:12" ht="15">
      <c r="B46" s="157" t="s">
        <v>98</v>
      </c>
      <c r="C46" s="159" t="s">
        <v>97</v>
      </c>
      <c r="D46" s="158">
        <v>2.1100000000000001E-5</v>
      </c>
      <c r="E46" s="147">
        <f t="shared" ref="E46:E48" si="3">D46*(264.172/2.20462/1000)</f>
        <v>2.528340122107212E-6</v>
      </c>
      <c r="F46" s="148" t="s">
        <v>118</v>
      </c>
      <c r="G46" s="149">
        <f>'Input Information'!$B$33*'RESIDUAL MASTER SHEET'!E46</f>
        <v>0</v>
      </c>
      <c r="H46" s="150">
        <f>(1-('Input Information'!$D$67/100))*G46</f>
        <v>0</v>
      </c>
      <c r="K46" s="238">
        <v>2</v>
      </c>
      <c r="L46" s="238" t="s">
        <v>87</v>
      </c>
    </row>
    <row r="47" spans="2:12" ht="15">
      <c r="B47" s="157" t="s">
        <v>273</v>
      </c>
      <c r="C47" s="159" t="s">
        <v>99</v>
      </c>
      <c r="D47" s="158">
        <v>2.53E-7</v>
      </c>
      <c r="E47" s="147">
        <f t="shared" si="3"/>
        <v>3.0316116156072255E-8</v>
      </c>
      <c r="F47" s="148" t="s">
        <v>153</v>
      </c>
      <c r="G47" s="149">
        <f>'Input Information'!$B$33*'RESIDUAL MASTER SHEET'!E47</f>
        <v>0</v>
      </c>
      <c r="H47" s="150">
        <f>(1-('Input Information'!$D$67/100))*G47</f>
        <v>0</v>
      </c>
      <c r="K47" s="238">
        <v>2</v>
      </c>
      <c r="L47" s="238" t="s">
        <v>87</v>
      </c>
    </row>
    <row r="48" spans="2:12" ht="15">
      <c r="B48" s="157" t="s">
        <v>101</v>
      </c>
      <c r="C48" s="159" t="s">
        <v>100</v>
      </c>
      <c r="D48" s="158">
        <v>4.4700000000000004E-6</v>
      </c>
      <c r="E48" s="147">
        <f t="shared" si="3"/>
        <v>5.3562466093930034E-7</v>
      </c>
      <c r="F48" s="148" t="s">
        <v>118</v>
      </c>
      <c r="G48" s="149">
        <f>'Input Information'!$B$33*'RESIDUAL MASTER SHEET'!E48</f>
        <v>0</v>
      </c>
      <c r="H48" s="150">
        <f>(1-('Input Information'!$D$67/100))*G48</f>
        <v>0</v>
      </c>
      <c r="K48" s="238">
        <v>2</v>
      </c>
      <c r="L48" s="238" t="s">
        <v>87</v>
      </c>
    </row>
    <row r="49" spans="2:11" ht="7.5" customHeight="1">
      <c r="I49" s="161"/>
      <c r="J49" s="161"/>
      <c r="K49" s="161"/>
    </row>
    <row r="50" spans="2:11">
      <c r="B50" s="162" t="s">
        <v>133</v>
      </c>
      <c r="I50" s="161"/>
      <c r="J50" s="161"/>
      <c r="K50" s="161"/>
    </row>
    <row r="51" spans="2:11">
      <c r="B51" s="162" t="s">
        <v>135</v>
      </c>
      <c r="I51" s="161"/>
      <c r="J51" s="161"/>
      <c r="K51" s="161"/>
    </row>
    <row r="52" spans="2:11" ht="15" thickBot="1">
      <c r="I52" s="161"/>
      <c r="J52" s="161"/>
      <c r="K52" s="161"/>
    </row>
    <row r="53" spans="2:11" ht="16.5">
      <c r="B53" s="285" t="s">
        <v>256</v>
      </c>
      <c r="C53" s="285"/>
      <c r="D53" s="285"/>
      <c r="E53" s="285"/>
      <c r="F53" s="274" t="s">
        <v>283</v>
      </c>
    </row>
    <row r="54" spans="2:11">
      <c r="B54" s="267" t="s">
        <v>125</v>
      </c>
      <c r="C54" s="272" t="s">
        <v>126</v>
      </c>
      <c r="D54" s="273"/>
      <c r="E54" s="273"/>
      <c r="F54" s="275"/>
    </row>
    <row r="55" spans="2:11">
      <c r="B55" s="267"/>
      <c r="C55" s="151">
        <v>6</v>
      </c>
      <c r="D55" s="151">
        <v>5</v>
      </c>
      <c r="E55" s="163">
        <v>4</v>
      </c>
      <c r="F55" s="276"/>
    </row>
    <row r="56" spans="2:11" ht="18.75">
      <c r="B56" s="208" t="s">
        <v>257</v>
      </c>
      <c r="C56" s="165">
        <f>157*'Input Information'!$D$47</f>
        <v>7.3789999999999994E-2</v>
      </c>
      <c r="D56" s="165">
        <f>157*'Input Information'!$D$47</f>
        <v>7.3789999999999994E-2</v>
      </c>
      <c r="E56" s="166">
        <f>150*'Input Information'!$D$47</f>
        <v>7.0499999999999993E-2</v>
      </c>
      <c r="F56" s="167">
        <f>INDEX($C$56:$E$59,MATCH(B56,$B$56:$B$59,0),MATCH($F$65,$C$55:$E$55,0))</f>
        <v>7.3789999999999994E-2</v>
      </c>
    </row>
    <row r="57" spans="2:11" ht="18.75">
      <c r="B57" s="208" t="s">
        <v>258</v>
      </c>
      <c r="C57" s="168">
        <v>55</v>
      </c>
      <c r="D57" s="168">
        <v>55</v>
      </c>
      <c r="E57" s="169">
        <v>20</v>
      </c>
      <c r="F57" s="167">
        <f t="shared" ref="F57:F58" si="4">INDEX($C$56:$E$59,MATCH(B57,$B$56:$B$59,0),MATCH($F$65,$C$55:$E$55,0))</f>
        <v>55</v>
      </c>
    </row>
    <row r="58" spans="2:11">
      <c r="B58" s="208" t="s">
        <v>52</v>
      </c>
      <c r="C58" s="170">
        <v>5</v>
      </c>
      <c r="D58" s="165">
        <v>5</v>
      </c>
      <c r="E58" s="166">
        <v>5</v>
      </c>
      <c r="F58" s="167">
        <f t="shared" si="4"/>
        <v>5</v>
      </c>
    </row>
    <row r="59" spans="2:11" ht="15" thickBot="1">
      <c r="B59" s="208" t="s">
        <v>54</v>
      </c>
      <c r="C59" s="168">
        <f>(9.19*'Input Information'!$D$47)+3.22</f>
        <v>3.2243193000000003</v>
      </c>
      <c r="D59" s="168">
        <v>10</v>
      </c>
      <c r="E59" s="169">
        <v>7</v>
      </c>
      <c r="F59" s="171">
        <f>INDEX($C$56:$E$59,MATCH(B59,$B$56:$B$59,0),MATCH($F$65,$C$55:$E$55,0))</f>
        <v>3.2243193000000003</v>
      </c>
    </row>
    <row r="60" spans="2:11" ht="15.75" customHeight="1">
      <c r="B60" s="140" t="s">
        <v>221</v>
      </c>
      <c r="C60" s="172" t="s">
        <v>220</v>
      </c>
      <c r="D60" s="173" t="s">
        <v>218</v>
      </c>
      <c r="E60" s="173" t="s">
        <v>220</v>
      </c>
      <c r="F60" s="174" t="str">
        <f>INDEX(C60:E60,MATCH($F$65,$C$55:$E$55,0))</f>
        <v>B</v>
      </c>
    </row>
    <row r="61" spans="2:11">
      <c r="B61" s="140" t="s">
        <v>128</v>
      </c>
      <c r="C61" s="172"/>
      <c r="D61" s="173"/>
      <c r="E61" s="173"/>
    </row>
    <row r="62" spans="2:11" hidden="1">
      <c r="C62" s="172"/>
      <c r="D62" s="173"/>
      <c r="E62" s="173"/>
    </row>
    <row r="63" spans="2:11">
      <c r="B63" s="173"/>
      <c r="C63" s="173"/>
      <c r="D63" s="175"/>
      <c r="E63" s="175"/>
    </row>
    <row r="64" spans="2:11" ht="15">
      <c r="B64" s="282" t="s">
        <v>111</v>
      </c>
      <c r="C64" s="282"/>
      <c r="E64" s="291" t="s">
        <v>124</v>
      </c>
      <c r="F64" s="291"/>
    </row>
    <row r="65" spans="2:8" ht="15">
      <c r="B65" s="280" t="s">
        <v>110</v>
      </c>
      <c r="C65" s="281"/>
      <c r="E65" s="164" t="s">
        <v>116</v>
      </c>
      <c r="F65" s="151">
        <f>'Input Information'!H7</f>
        <v>6</v>
      </c>
    </row>
    <row r="66" spans="2:8">
      <c r="B66" s="176" t="s">
        <v>104</v>
      </c>
      <c r="C66" s="177">
        <f>1.12*('Input Information'!$D$47)+0.37</f>
        <v>0.37052639999999998</v>
      </c>
      <c r="E66" s="164" t="s">
        <v>123</v>
      </c>
      <c r="F66" s="151" t="str">
        <f>'Input Information'!$H$37</f>
        <v>I</v>
      </c>
    </row>
    <row r="67" spans="2:8">
      <c r="B67" s="178" t="s">
        <v>105</v>
      </c>
      <c r="C67" s="178">
        <v>1.2</v>
      </c>
    </row>
    <row r="68" spans="2:8">
      <c r="B68" s="179" t="s">
        <v>106</v>
      </c>
      <c r="C68" s="179">
        <v>0.84</v>
      </c>
    </row>
    <row r="70" spans="2:8" ht="18.75">
      <c r="B70" s="290" t="s">
        <v>259</v>
      </c>
      <c r="C70" s="290"/>
      <c r="D70" s="290"/>
      <c r="E70" s="290"/>
      <c r="F70" s="290"/>
    </row>
    <row r="71" spans="2:8" ht="3.75" customHeight="1"/>
    <row r="72" spans="2:8" ht="15">
      <c r="B72" s="278" t="s">
        <v>120</v>
      </c>
      <c r="C72" s="279"/>
      <c r="D72" s="279"/>
      <c r="E72" s="279"/>
    </row>
    <row r="73" spans="2:8" ht="15">
      <c r="B73" s="278" t="s">
        <v>121</v>
      </c>
      <c r="C73" s="279"/>
      <c r="D73" s="279"/>
      <c r="E73" s="279"/>
    </row>
    <row r="74" spans="2:8" ht="15">
      <c r="B74" s="278" t="s">
        <v>122</v>
      </c>
      <c r="C74" s="279"/>
      <c r="D74" s="279"/>
      <c r="E74" s="279"/>
    </row>
    <row r="75" spans="2:8" ht="10.5" customHeight="1" thickBot="1"/>
    <row r="76" spans="2:8" ht="18">
      <c r="B76" s="283" t="s">
        <v>260</v>
      </c>
      <c r="C76" s="284"/>
      <c r="D76" s="284"/>
      <c r="E76" s="284"/>
      <c r="F76" s="298" t="s">
        <v>216</v>
      </c>
      <c r="G76" s="286" t="s">
        <v>283</v>
      </c>
    </row>
    <row r="77" spans="2:8">
      <c r="B77" s="277" t="s">
        <v>127</v>
      </c>
      <c r="C77" s="272" t="s">
        <v>126</v>
      </c>
      <c r="D77" s="273"/>
      <c r="E77" s="273"/>
      <c r="F77" s="299"/>
      <c r="G77" s="287"/>
    </row>
    <row r="78" spans="2:8" ht="15" thickBot="1">
      <c r="B78" s="277"/>
      <c r="C78" s="205">
        <v>6</v>
      </c>
      <c r="D78" s="205">
        <v>5</v>
      </c>
      <c r="E78" s="206">
        <v>4</v>
      </c>
      <c r="F78" s="299"/>
      <c r="G78" s="288"/>
    </row>
    <row r="79" spans="2:8" ht="15" thickBot="1">
      <c r="B79" s="224" t="s">
        <v>117</v>
      </c>
      <c r="C79" s="180">
        <f>7.17*C66</f>
        <v>2.6566742879999996</v>
      </c>
      <c r="D79" s="180">
        <f>7.17*C67</f>
        <v>8.6039999999999992</v>
      </c>
      <c r="E79" s="181">
        <f>7.17*C68</f>
        <v>6.0228000000000002</v>
      </c>
      <c r="F79" s="215" t="s">
        <v>153</v>
      </c>
      <c r="G79" s="210">
        <f>INDEX($C$79:$E$81,MATCH($F$66,$B$79:$B$81,0),MATCH($F$65,$C$78:$E$78,0))</f>
        <v>2.6566742879999996</v>
      </c>
      <c r="H79" s="140" t="s">
        <v>131</v>
      </c>
    </row>
    <row r="80" spans="2:8" ht="15" thickBot="1">
      <c r="B80" s="224" t="s">
        <v>118</v>
      </c>
      <c r="C80" s="180">
        <f>5.17*C66</f>
        <v>1.9156214879999998</v>
      </c>
      <c r="D80" s="180">
        <f>5.17*C67</f>
        <v>6.2039999999999997</v>
      </c>
      <c r="E80" s="181">
        <f>5.17*C68</f>
        <v>4.3427999999999995</v>
      </c>
      <c r="F80" s="215" t="s">
        <v>153</v>
      </c>
      <c r="G80" s="223" t="str">
        <f>INDEX(F79:F81,MATCH($F$66,$B$79:$B$81,0))</f>
        <v>D</v>
      </c>
      <c r="H80" s="140" t="s">
        <v>132</v>
      </c>
    </row>
    <row r="81" spans="2:8" ht="15" thickBot="1">
      <c r="B81" s="225" t="s">
        <v>119</v>
      </c>
      <c r="C81" s="216">
        <f>5.9*C66</f>
        <v>2.1861057599999998</v>
      </c>
      <c r="D81" s="216">
        <f>5.9*C67</f>
        <v>7.08</v>
      </c>
      <c r="E81" s="226">
        <f>5.9*C68</f>
        <v>4.9560000000000004</v>
      </c>
      <c r="F81" s="217" t="s">
        <v>118</v>
      </c>
      <c r="G81" s="182"/>
      <c r="H81" s="140" t="s">
        <v>130</v>
      </c>
    </row>
    <row r="82" spans="2:8" ht="3.75" customHeight="1">
      <c r="B82" s="175"/>
      <c r="C82" s="175"/>
      <c r="D82" s="175"/>
      <c r="E82" s="175"/>
      <c r="G82" s="182"/>
    </row>
    <row r="83" spans="2:8" hidden="1">
      <c r="B83" s="175"/>
      <c r="C83" s="175"/>
      <c r="D83" s="175"/>
      <c r="E83" s="175"/>
      <c r="G83" s="182"/>
    </row>
    <row r="84" spans="2:8" ht="15" thickBot="1">
      <c r="B84" s="175"/>
      <c r="C84" s="175"/>
      <c r="D84" s="175"/>
      <c r="E84" s="175"/>
    </row>
    <row r="85" spans="2:8" ht="18">
      <c r="B85" s="283" t="s">
        <v>261</v>
      </c>
      <c r="C85" s="284"/>
      <c r="D85" s="284"/>
      <c r="E85" s="284"/>
      <c r="F85" s="298" t="s">
        <v>216</v>
      </c>
      <c r="G85" s="286" t="s">
        <v>283</v>
      </c>
    </row>
    <row r="86" spans="2:8">
      <c r="B86" s="277" t="s">
        <v>127</v>
      </c>
      <c r="C86" s="272" t="s">
        <v>126</v>
      </c>
      <c r="D86" s="273"/>
      <c r="E86" s="273"/>
      <c r="F86" s="299"/>
      <c r="G86" s="287"/>
    </row>
    <row r="87" spans="2:8" ht="15" thickBot="1">
      <c r="B87" s="277"/>
      <c r="C87" s="205">
        <v>6</v>
      </c>
      <c r="D87" s="205">
        <v>5</v>
      </c>
      <c r="E87" s="206">
        <v>4</v>
      </c>
      <c r="F87" s="299"/>
      <c r="G87" s="288"/>
    </row>
    <row r="88" spans="2:8" ht="15" thickBot="1">
      <c r="B88" s="224" t="s">
        <v>117</v>
      </c>
      <c r="C88" s="180">
        <f>4.67*C66</f>
        <v>1.7303582879999999</v>
      </c>
      <c r="D88" s="180">
        <f>4.67*C67</f>
        <v>5.6040000000000001</v>
      </c>
      <c r="E88" s="181">
        <f>4.67*C68</f>
        <v>3.9227999999999996</v>
      </c>
      <c r="F88" s="215" t="s">
        <v>153</v>
      </c>
      <c r="G88" s="210">
        <f>INDEX($C$88:$E$90,MATCH(F66,B88:B90,0),MATCH(F65,C87:E87,0))</f>
        <v>1.7303582879999999</v>
      </c>
      <c r="H88" s="140" t="s">
        <v>131</v>
      </c>
    </row>
    <row r="89" spans="2:8" ht="15" thickBot="1">
      <c r="B89" s="224" t="s">
        <v>118</v>
      </c>
      <c r="C89" s="180">
        <f>1.92*C66</f>
        <v>0.71141068799999996</v>
      </c>
      <c r="D89" s="180">
        <f>1.92*C67</f>
        <v>2.3039999999999998</v>
      </c>
      <c r="E89" s="180">
        <f>1.92*C68</f>
        <v>1.6127999999999998</v>
      </c>
      <c r="F89" s="215" t="s">
        <v>153</v>
      </c>
      <c r="G89" s="223" t="str">
        <f>INDEX(F88:F90,MATCH($F$66,$B$88:$B$90,0))</f>
        <v>D</v>
      </c>
      <c r="H89" s="140" t="s">
        <v>132</v>
      </c>
    </row>
    <row r="90" spans="2:8" ht="15" thickBot="1">
      <c r="B90" s="225" t="s">
        <v>119</v>
      </c>
      <c r="C90" s="216">
        <f>4.3*C66</f>
        <v>1.5932635199999998</v>
      </c>
      <c r="D90" s="216">
        <f>4.3*C67</f>
        <v>5.1599999999999993</v>
      </c>
      <c r="E90" s="216">
        <f>4.3*C68</f>
        <v>3.6119999999999997</v>
      </c>
      <c r="F90" s="217" t="s">
        <v>118</v>
      </c>
      <c r="G90" s="182"/>
      <c r="H90" s="140" t="s">
        <v>130</v>
      </c>
    </row>
    <row r="91" spans="2:8" ht="7.5" customHeight="1">
      <c r="B91" s="175"/>
      <c r="C91" s="175"/>
      <c r="D91" s="175"/>
      <c r="E91" s="175"/>
    </row>
    <row r="92" spans="2:8" hidden="1">
      <c r="B92" s="175"/>
      <c r="C92" s="175"/>
      <c r="D92" s="175"/>
      <c r="E92" s="175"/>
    </row>
    <row r="93" spans="2:8" ht="15" thickBot="1">
      <c r="B93" s="175"/>
      <c r="C93" s="175"/>
      <c r="D93" s="175"/>
      <c r="E93" s="175"/>
    </row>
    <row r="94" spans="2:8" ht="16.5" customHeight="1">
      <c r="B94" s="292" t="s">
        <v>262</v>
      </c>
      <c r="C94" s="293"/>
      <c r="D94" s="293"/>
      <c r="E94" s="294"/>
      <c r="F94" s="300" t="s">
        <v>216</v>
      </c>
      <c r="G94" s="286" t="s">
        <v>283</v>
      </c>
    </row>
    <row r="95" spans="2:8">
      <c r="B95" s="295" t="s">
        <v>127</v>
      </c>
      <c r="C95" s="272" t="s">
        <v>126</v>
      </c>
      <c r="D95" s="273"/>
      <c r="E95" s="297"/>
      <c r="F95" s="301"/>
      <c r="G95" s="287"/>
    </row>
    <row r="96" spans="2:8">
      <c r="B96" s="296"/>
      <c r="C96" s="205">
        <v>6</v>
      </c>
      <c r="D96" s="205">
        <v>5</v>
      </c>
      <c r="E96" s="206">
        <v>4</v>
      </c>
      <c r="F96" s="302"/>
      <c r="G96" s="289"/>
    </row>
    <row r="97" spans="2:7" ht="15" thickBot="1">
      <c r="B97" s="224" t="s">
        <v>117</v>
      </c>
      <c r="C97" s="180">
        <v>0.28000000000000003</v>
      </c>
      <c r="D97" s="180">
        <v>0.28000000000000003</v>
      </c>
      <c r="E97" s="181">
        <v>0.2</v>
      </c>
      <c r="F97" s="215" t="s">
        <v>218</v>
      </c>
      <c r="G97" s="227">
        <f>INDEX(C97:E99,MATCH(F66,B97:B99,0),MATCH(F65,C96:E96,0))</f>
        <v>0.28000000000000003</v>
      </c>
    </row>
    <row r="98" spans="2:7" ht="15" thickBot="1">
      <c r="B98" s="224" t="s">
        <v>118</v>
      </c>
      <c r="C98" s="180">
        <v>1.1299999999999999</v>
      </c>
      <c r="D98" s="180">
        <v>1.1299999999999999</v>
      </c>
      <c r="E98" s="180">
        <v>0.34</v>
      </c>
      <c r="F98" s="215" t="s">
        <v>218</v>
      </c>
      <c r="G98" s="223" t="str">
        <f>INDEX(F97:F99,MATCH($F$66,$B$97:$B$99,0))</f>
        <v>A</v>
      </c>
    </row>
    <row r="99" spans="2:7" ht="15" thickBot="1">
      <c r="B99" s="225" t="s">
        <v>119</v>
      </c>
      <c r="C99" s="216">
        <v>0.76</v>
      </c>
      <c r="D99" s="216">
        <v>0.76</v>
      </c>
      <c r="E99" s="216">
        <v>0.76</v>
      </c>
      <c r="F99" s="217" t="s">
        <v>218</v>
      </c>
      <c r="G99" s="182"/>
    </row>
    <row r="100" spans="2:7" ht="4.5" customHeight="1"/>
    <row r="101" spans="2:7">
      <c r="B101" s="140" t="s">
        <v>129</v>
      </c>
    </row>
  </sheetData>
  <sheetProtection password="CA53" sheet="1" objects="1" scenarios="1"/>
  <mergeCells count="32">
    <mergeCell ref="G85:G87"/>
    <mergeCell ref="G94:G96"/>
    <mergeCell ref="B70:F70"/>
    <mergeCell ref="E64:F64"/>
    <mergeCell ref="B85:E85"/>
    <mergeCell ref="B86:B87"/>
    <mergeCell ref="C86:E86"/>
    <mergeCell ref="B94:E94"/>
    <mergeCell ref="B95:B96"/>
    <mergeCell ref="C95:E95"/>
    <mergeCell ref="F76:F78"/>
    <mergeCell ref="F85:F87"/>
    <mergeCell ref="G76:G78"/>
    <mergeCell ref="F94:F96"/>
    <mergeCell ref="C54:E54"/>
    <mergeCell ref="F53:F55"/>
    <mergeCell ref="B77:B78"/>
    <mergeCell ref="C77:E77"/>
    <mergeCell ref="B74:E74"/>
    <mergeCell ref="B65:C65"/>
    <mergeCell ref="B64:C64"/>
    <mergeCell ref="B76:E76"/>
    <mergeCell ref="B53:E53"/>
    <mergeCell ref="B54:B55"/>
    <mergeCell ref="B72:E72"/>
    <mergeCell ref="B73:E73"/>
    <mergeCell ref="B4:B5"/>
    <mergeCell ref="C4:C5"/>
    <mergeCell ref="D4:E4"/>
    <mergeCell ref="K4:K5"/>
    <mergeCell ref="L4:L5"/>
    <mergeCell ref="F4:F5"/>
  </mergeCells>
  <pageMargins left="0.39370078740157483" right="0.39370078740157483" top="0.55118110236220474" bottom="0.39370078740157483" header="0.31496062992125984" footer="0.31496062992125984"/>
  <pageSetup scale="64" orientation="landscape" r:id="rId1"/>
  <rowBreaks count="1" manualBreakCount="1">
    <brk id="48" max="16383" man="1"/>
  </rowBreaks>
  <ignoredErrors>
    <ignoredError sqref="D11" formula="1"/>
  </ignoredErrors>
  <extLst>
    <ext xmlns:x14="http://schemas.microsoft.com/office/spreadsheetml/2009/9/main" uri="{78C0D931-6437-407d-A8EE-F0AAD7539E65}">
      <x14:conditionalFormattings>
        <x14:conditionalFormatting xmlns:xm="http://schemas.microsoft.com/office/excel/2006/main">
          <x14:cfRule type="expression" priority="2" id="{2354DCF2-516A-473C-8A78-A606A21F106F}">
            <xm:f>'Input Information'!$H$4="D"</xm:f>
            <x14:dxf>
              <fill>
                <patternFill patternType="darkGray"/>
              </fill>
            </x14:dxf>
          </x14:cfRule>
          <xm:sqref>D6:H45 E46:H48</xm:sqref>
        </x14:conditionalFormatting>
        <x14:conditionalFormatting xmlns:xm="http://schemas.microsoft.com/office/excel/2006/main">
          <x14:cfRule type="expression" priority="1" id="{2D810726-45F3-4532-A76F-C510ABF2E5C0}">
            <xm:f>'Input Information'!$H$4="D"</xm:f>
            <x14:dxf>
              <fill>
                <patternFill patternType="darkGray"/>
              </fill>
            </x14:dxf>
          </x14:cfRule>
          <xm:sqref>D46:D48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5"/>
  <sheetViews>
    <sheetView workbookViewId="0">
      <selection activeCell="B2" sqref="B2"/>
    </sheetView>
  </sheetViews>
  <sheetFormatPr defaultColWidth="9.5703125" defaultRowHeight="14.25"/>
  <cols>
    <col min="1" max="1" width="2.5703125" style="140" customWidth="1"/>
    <col min="2" max="2" width="62.28515625" style="140" customWidth="1"/>
    <col min="3" max="3" width="13.85546875" style="140" customWidth="1"/>
    <col min="4" max="4" width="22.28515625" style="140" customWidth="1"/>
    <col min="5" max="5" width="19.140625" style="140" bestFit="1" customWidth="1"/>
    <col min="6" max="6" width="17.42578125" style="140" customWidth="1"/>
    <col min="7" max="7" width="23" style="140" customWidth="1"/>
    <col min="8" max="8" width="20.85546875" style="140" customWidth="1"/>
    <col min="9" max="9" width="3.5703125" style="140" customWidth="1"/>
    <col min="10" max="10" width="10.7109375" style="140" bestFit="1" customWidth="1"/>
    <col min="11" max="11" width="11.28515625" style="140" customWidth="1"/>
    <col min="12" max="16384" width="9.5703125" style="140"/>
  </cols>
  <sheetData>
    <row r="2" spans="2:11" ht="26.25" customHeight="1">
      <c r="B2" s="139" t="s">
        <v>102</v>
      </c>
    </row>
    <row r="3" spans="2:11" ht="5.25" customHeight="1"/>
    <row r="4" spans="2:11" ht="33.6" customHeight="1">
      <c r="B4" s="266" t="s">
        <v>23</v>
      </c>
      <c r="C4" s="267" t="s">
        <v>200</v>
      </c>
      <c r="D4" s="268" t="s">
        <v>24</v>
      </c>
      <c r="E4" s="268"/>
      <c r="F4" s="270" t="s">
        <v>216</v>
      </c>
      <c r="G4" s="141" t="s">
        <v>164</v>
      </c>
      <c r="H4" s="141" t="s">
        <v>165</v>
      </c>
      <c r="J4" s="270" t="s">
        <v>84</v>
      </c>
      <c r="K4" s="270" t="s">
        <v>85</v>
      </c>
    </row>
    <row r="5" spans="2:11" ht="16.5">
      <c r="B5" s="266"/>
      <c r="C5" s="267"/>
      <c r="D5" s="151" t="s">
        <v>250</v>
      </c>
      <c r="E5" s="151" t="s">
        <v>251</v>
      </c>
      <c r="F5" s="271"/>
      <c r="G5" s="142" t="s">
        <v>25</v>
      </c>
      <c r="H5" s="184" t="s">
        <v>25</v>
      </c>
      <c r="J5" s="271"/>
      <c r="K5" s="271"/>
    </row>
    <row r="6" spans="2:11" ht="18.75">
      <c r="B6" s="144" t="s">
        <v>252</v>
      </c>
      <c r="C6" s="159" t="s">
        <v>50</v>
      </c>
      <c r="D6" s="155">
        <f>IF('Input Information'!$H$4="D",142*'Input Information'!$D$47,"Residual Master Sheet")</f>
        <v>6.6739999999999994E-2</v>
      </c>
      <c r="E6" s="185">
        <f>IFERROR(D6*(264.172/2.20462/1000),"")</f>
        <v>7.9972236848073596E-3</v>
      </c>
      <c r="F6" s="186" t="str">
        <f>IF('Input Information'!$H$4="D","A","Residual Master Sheet")</f>
        <v>A</v>
      </c>
      <c r="G6" s="150">
        <f>IF(E6="","",'Input Information'!$B$33*E6)</f>
        <v>0</v>
      </c>
      <c r="H6" s="150">
        <f>IFERROR((1-('Input Information'!D59/100))*G6,"")</f>
        <v>0</v>
      </c>
      <c r="J6" s="151">
        <v>4</v>
      </c>
      <c r="K6" s="151" t="s">
        <v>87</v>
      </c>
    </row>
    <row r="7" spans="2:11" ht="18.75">
      <c r="B7" s="144" t="s">
        <v>253</v>
      </c>
      <c r="C7" s="156" t="s">
        <v>51</v>
      </c>
      <c r="D7" s="155">
        <f>IF('Input Information'!$H$4="D",20,"Residual Master Sheet")</f>
        <v>20</v>
      </c>
      <c r="E7" s="185">
        <f t="shared" ref="E7:E9" si="0">IFERROR(D7*(264.172/2.20462/1000),"")</f>
        <v>2.3965309214286368</v>
      </c>
      <c r="F7" s="186" t="str">
        <f>IF('Input Information'!$H$4="D","A","Residual Master Sheet")</f>
        <v>A</v>
      </c>
      <c r="G7" s="150">
        <f>IF(E7="","",'Input Information'!$B$33*E7)</f>
        <v>0</v>
      </c>
      <c r="H7" s="150">
        <f>IFERROR((1-('Input Information'!D55/100))*G7,"")</f>
        <v>0</v>
      </c>
      <c r="J7" s="151">
        <v>4</v>
      </c>
      <c r="K7" s="151" t="s">
        <v>87</v>
      </c>
    </row>
    <row r="8" spans="2:11" ht="15">
      <c r="B8" s="144" t="s">
        <v>228</v>
      </c>
      <c r="C8" s="156" t="s">
        <v>53</v>
      </c>
      <c r="D8" s="155">
        <f>IF('Input Information'!$H$4="D",5,"Residual Master Sheet")</f>
        <v>5</v>
      </c>
      <c r="E8" s="185">
        <f t="shared" si="0"/>
        <v>0.59913273035715919</v>
      </c>
      <c r="F8" s="186" t="str">
        <f>IF('Input Information'!$H$4="D","A","Residual Master Sheet")</f>
        <v>A</v>
      </c>
      <c r="G8" s="150">
        <f>IF(E8="","",'Input Information'!$B$33*E8)</f>
        <v>0</v>
      </c>
      <c r="H8" s="150">
        <f>IFERROR((1-('Input Information'!D63/100))*G8,"")</f>
        <v>0</v>
      </c>
      <c r="J8" s="151">
        <v>4</v>
      </c>
      <c r="K8" s="151" t="s">
        <v>87</v>
      </c>
    </row>
    <row r="9" spans="2:11" ht="15">
      <c r="B9" s="144" t="s">
        <v>227</v>
      </c>
      <c r="C9" s="156" t="s">
        <v>55</v>
      </c>
      <c r="D9" s="155">
        <f>IF('Input Information'!$H$4="D",2,"Residual Master Sheet")</f>
        <v>2</v>
      </c>
      <c r="E9" s="185">
        <f t="shared" si="0"/>
        <v>0.23965309214286368</v>
      </c>
      <c r="F9" s="186" t="str">
        <f>IF('Input Information'!$H$4="D","A","Residual Master Sheet")</f>
        <v>A</v>
      </c>
      <c r="G9" s="150">
        <f>IF(E9="","",'Input Information'!$B$33*E9)</f>
        <v>0</v>
      </c>
      <c r="H9" s="150">
        <f>IFERROR((1-('Input Information'!$D$67/100))*G9,"")</f>
        <v>0</v>
      </c>
      <c r="J9" s="151">
        <v>4</v>
      </c>
      <c r="K9" s="151" t="s">
        <v>87</v>
      </c>
    </row>
    <row r="10" spans="2:11" ht="18.75">
      <c r="B10" s="153" t="s">
        <v>254</v>
      </c>
      <c r="C10" s="154" t="s">
        <v>47</v>
      </c>
      <c r="D10" s="155">
        <f>IF('Input Information'!$H$4="D",E67,"Residual Master Sheet")</f>
        <v>1</v>
      </c>
      <c r="E10" s="185">
        <f>IFERROR(D10*(264.172/2.20462/1000),"")</f>
        <v>0.11982654607143184</v>
      </c>
      <c r="F10" s="186" t="str">
        <f>IF('Input Information'!$H$4="D",E68,"Residual Master Sheet")</f>
        <v>E</v>
      </c>
      <c r="G10" s="150">
        <f>IF(E10="","",'Input Information'!$B$33*E10)</f>
        <v>0</v>
      </c>
      <c r="H10" s="150">
        <f>IFERROR((1-('Input Information'!$D$67/100))*G10,"")</f>
        <v>0</v>
      </c>
      <c r="J10" s="151">
        <v>4</v>
      </c>
      <c r="K10" s="151" t="s">
        <v>87</v>
      </c>
    </row>
    <row r="11" spans="2:11" ht="18.75">
      <c r="B11" s="153" t="s">
        <v>255</v>
      </c>
      <c r="C11" s="154" t="s">
        <v>48</v>
      </c>
      <c r="D11" s="155">
        <f>IF('Input Information'!$H$4="D",E78,"Residual Master Sheet")</f>
        <v>0.25</v>
      </c>
      <c r="E11" s="185">
        <f t="shared" ref="E11:E12" si="1">IFERROR(D11*(264.172/2.20462/1000),"")</f>
        <v>2.995663651785796E-2</v>
      </c>
      <c r="F11" s="186" t="str">
        <f>IF('Input Information'!$H$4="D",E79,"Residual Master Sheet")</f>
        <v>E</v>
      </c>
      <c r="G11" s="150">
        <f>IF(E11="","",'Input Information'!$B$33*E11)</f>
        <v>0</v>
      </c>
      <c r="H11" s="150">
        <f>IFERROR((1-('Input Information'!$D$67/100))*G11,"")</f>
        <v>0</v>
      </c>
      <c r="J11" s="151">
        <v>4</v>
      </c>
      <c r="K11" s="151" t="s">
        <v>87</v>
      </c>
    </row>
    <row r="12" spans="2:11" ht="15">
      <c r="B12" s="144" t="s">
        <v>292</v>
      </c>
      <c r="C12" s="156" t="s">
        <v>49</v>
      </c>
      <c r="D12" s="155">
        <f>IF('Input Information'!$H$4="D",E89,"Residual Master Sheet")</f>
        <v>0.2</v>
      </c>
      <c r="E12" s="185">
        <f t="shared" si="1"/>
        <v>2.3965309214286371E-2</v>
      </c>
      <c r="F12" s="186" t="str">
        <f>IF('Input Information'!$H$4="D",E90,"Residual Master Sheet")</f>
        <v>E</v>
      </c>
      <c r="G12" s="150">
        <f>IF(E12="","",'Input Information'!$B$33*E12)</f>
        <v>0</v>
      </c>
      <c r="H12" s="150">
        <f>G12</f>
        <v>0</v>
      </c>
      <c r="J12" s="151">
        <v>4</v>
      </c>
      <c r="K12" s="151" t="s">
        <v>87</v>
      </c>
    </row>
    <row r="13" spans="2:11" ht="15">
      <c r="B13" s="187" t="s">
        <v>56</v>
      </c>
      <c r="C13" s="156" t="s">
        <v>57</v>
      </c>
      <c r="D13" s="155">
        <v>1.22E-6</v>
      </c>
      <c r="E13" s="185">
        <f t="shared" ref="E13:E33" si="2">D13*(264.172/2.20462/1000)</f>
        <v>1.4618838620714684E-7</v>
      </c>
      <c r="F13" s="188" t="s">
        <v>118</v>
      </c>
      <c r="G13" s="150">
        <f>'Input Information'!$B$33*E13</f>
        <v>0</v>
      </c>
      <c r="H13" s="150">
        <f t="shared" ref="H13:H33" si="3">G13</f>
        <v>0</v>
      </c>
      <c r="J13" s="151">
        <v>2</v>
      </c>
      <c r="K13" s="151" t="s">
        <v>87</v>
      </c>
    </row>
    <row r="14" spans="2:11" ht="15">
      <c r="B14" s="187" t="s">
        <v>26</v>
      </c>
      <c r="C14" s="156" t="s">
        <v>27</v>
      </c>
      <c r="D14" s="155">
        <v>2.14E-4</v>
      </c>
      <c r="E14" s="185">
        <f t="shared" si="2"/>
        <v>2.5642880859286414E-5</v>
      </c>
      <c r="F14" s="188" t="s">
        <v>118</v>
      </c>
      <c r="G14" s="150">
        <f>'Input Information'!$B$33*E14</f>
        <v>0</v>
      </c>
      <c r="H14" s="150">
        <f t="shared" si="3"/>
        <v>0</v>
      </c>
      <c r="J14" s="151" t="s">
        <v>86</v>
      </c>
      <c r="K14" s="151">
        <v>5</v>
      </c>
    </row>
    <row r="15" spans="2:11" ht="15">
      <c r="B15" s="187" t="s">
        <v>304</v>
      </c>
      <c r="C15" s="156" t="s">
        <v>58</v>
      </c>
      <c r="D15" s="155">
        <v>4.0099999999999997E-6</v>
      </c>
      <c r="E15" s="185">
        <f t="shared" si="2"/>
        <v>4.8050444974644168E-7</v>
      </c>
      <c r="F15" s="188" t="s">
        <v>118</v>
      </c>
      <c r="G15" s="150">
        <f>'Input Information'!$B$33*E15</f>
        <v>0</v>
      </c>
      <c r="H15" s="150">
        <f t="shared" si="3"/>
        <v>0</v>
      </c>
      <c r="J15" s="151">
        <v>2</v>
      </c>
      <c r="K15" s="151" t="s">
        <v>87</v>
      </c>
    </row>
    <row r="16" spans="2:11" ht="15">
      <c r="B16" s="187" t="s">
        <v>305</v>
      </c>
      <c r="C16" s="156" t="s">
        <v>59</v>
      </c>
      <c r="D16" s="155">
        <v>2.3800000000000001E-6</v>
      </c>
      <c r="E16" s="185">
        <f t="shared" si="2"/>
        <v>2.851871796500078E-7</v>
      </c>
      <c r="F16" s="188" t="s">
        <v>118</v>
      </c>
      <c r="G16" s="150">
        <f>'Input Information'!$B$33*E16</f>
        <v>0</v>
      </c>
      <c r="H16" s="150">
        <f t="shared" si="3"/>
        <v>0</v>
      </c>
      <c r="J16" s="151">
        <v>2</v>
      </c>
      <c r="K16" s="151" t="s">
        <v>87</v>
      </c>
    </row>
    <row r="17" spans="2:11" ht="15">
      <c r="B17" s="187" t="s">
        <v>300</v>
      </c>
      <c r="C17" s="156" t="s">
        <v>60</v>
      </c>
      <c r="D17" s="155">
        <v>1.48E-6</v>
      </c>
      <c r="E17" s="185">
        <f t="shared" si="2"/>
        <v>1.7734328818571913E-7</v>
      </c>
      <c r="F17" s="188" t="s">
        <v>118</v>
      </c>
      <c r="G17" s="150">
        <f>'Input Information'!$B$33*E17</f>
        <v>0</v>
      </c>
      <c r="H17" s="150">
        <f t="shared" si="3"/>
        <v>0</v>
      </c>
      <c r="J17" s="151">
        <v>2</v>
      </c>
      <c r="K17" s="151" t="s">
        <v>87</v>
      </c>
    </row>
    <row r="18" spans="2:11" ht="15">
      <c r="B18" s="187" t="s">
        <v>298</v>
      </c>
      <c r="C18" s="156" t="s">
        <v>61</v>
      </c>
      <c r="D18" s="155">
        <v>2.26E-6</v>
      </c>
      <c r="E18" s="185">
        <f t="shared" si="2"/>
        <v>2.7080799412143594E-7</v>
      </c>
      <c r="F18" s="188" t="s">
        <v>118</v>
      </c>
      <c r="G18" s="150">
        <f>'Input Information'!$B$33*E18</f>
        <v>0</v>
      </c>
      <c r="H18" s="150">
        <f t="shared" si="3"/>
        <v>0</v>
      </c>
      <c r="J18" s="151">
        <v>2</v>
      </c>
      <c r="K18" s="151" t="s">
        <v>87</v>
      </c>
    </row>
    <row r="19" spans="2:11" ht="15">
      <c r="B19" s="187" t="s">
        <v>299</v>
      </c>
      <c r="C19" s="156" t="s">
        <v>62</v>
      </c>
      <c r="D19" s="155">
        <v>1.48E-6</v>
      </c>
      <c r="E19" s="185">
        <f t="shared" si="2"/>
        <v>1.7734328818571913E-7</v>
      </c>
      <c r="F19" s="188" t="s">
        <v>118</v>
      </c>
      <c r="G19" s="150">
        <f>'Input Information'!$B$33*E19</f>
        <v>0</v>
      </c>
      <c r="H19" s="150">
        <f t="shared" si="3"/>
        <v>0</v>
      </c>
      <c r="J19" s="151">
        <v>2</v>
      </c>
      <c r="K19" s="151" t="s">
        <v>87</v>
      </c>
    </row>
    <row r="20" spans="2:11" ht="15">
      <c r="B20" s="187" t="s">
        <v>301</v>
      </c>
      <c r="C20" s="156" t="s">
        <v>63</v>
      </c>
      <c r="D20" s="155">
        <v>1.6700000000000001E-6</v>
      </c>
      <c r="E20" s="185">
        <f t="shared" si="2"/>
        <v>2.0011033193929119E-7</v>
      </c>
      <c r="F20" s="188" t="s">
        <v>153</v>
      </c>
      <c r="G20" s="150">
        <f>'Input Information'!$B$33*E20</f>
        <v>0</v>
      </c>
      <c r="H20" s="150">
        <f t="shared" si="3"/>
        <v>0</v>
      </c>
      <c r="J20" s="151">
        <v>2</v>
      </c>
      <c r="K20" s="151" t="s">
        <v>87</v>
      </c>
    </row>
    <row r="21" spans="2:11" ht="15">
      <c r="B21" s="187" t="s">
        <v>64</v>
      </c>
      <c r="C21" s="156" t="s">
        <v>65</v>
      </c>
      <c r="D21" s="155">
        <v>6.3600000000000001E-5</v>
      </c>
      <c r="E21" s="185">
        <f t="shared" si="2"/>
        <v>7.6209683301430652E-6</v>
      </c>
      <c r="F21" s="188" t="s">
        <v>219</v>
      </c>
      <c r="G21" s="150">
        <f>'Input Information'!$B$33*E21</f>
        <v>0</v>
      </c>
      <c r="H21" s="150">
        <f t="shared" si="3"/>
        <v>0</v>
      </c>
      <c r="J21" s="151" t="s">
        <v>86</v>
      </c>
      <c r="K21" s="151" t="s">
        <v>87</v>
      </c>
    </row>
    <row r="22" spans="2:11" ht="15">
      <c r="B22" s="187" t="s">
        <v>66</v>
      </c>
      <c r="C22" s="156" t="s">
        <v>67</v>
      </c>
      <c r="D22" s="155">
        <v>4.8400000000000002E-6</v>
      </c>
      <c r="E22" s="185">
        <f t="shared" si="2"/>
        <v>5.7996048298573011E-7</v>
      </c>
      <c r="F22" s="188" t="s">
        <v>118</v>
      </c>
      <c r="G22" s="150">
        <f>'Input Information'!$B$33*E22</f>
        <v>0</v>
      </c>
      <c r="H22" s="150">
        <f t="shared" si="3"/>
        <v>0</v>
      </c>
      <c r="J22" s="151">
        <v>2</v>
      </c>
      <c r="K22" s="151" t="s">
        <v>87</v>
      </c>
    </row>
    <row r="23" spans="2:11" ht="15">
      <c r="B23" s="187" t="s">
        <v>29</v>
      </c>
      <c r="C23" s="156" t="s">
        <v>30</v>
      </c>
      <c r="D23" s="155">
        <f>AVERAGE(0.035,0.061)</f>
        <v>4.8000000000000001E-2</v>
      </c>
      <c r="E23" s="185">
        <f t="shared" si="2"/>
        <v>5.7516742114287287E-3</v>
      </c>
      <c r="F23" s="188" t="s">
        <v>219</v>
      </c>
      <c r="G23" s="150">
        <f>'Input Information'!$B$33*E23</f>
        <v>0</v>
      </c>
      <c r="H23" s="150">
        <f t="shared" si="3"/>
        <v>0</v>
      </c>
      <c r="J23" s="151" t="s">
        <v>86</v>
      </c>
      <c r="K23" s="151">
        <v>5</v>
      </c>
    </row>
    <row r="24" spans="2:11" ht="15">
      <c r="B24" s="187" t="s">
        <v>302</v>
      </c>
      <c r="C24" s="156" t="s">
        <v>68</v>
      </c>
      <c r="D24" s="155">
        <v>2.1399999999999998E-6</v>
      </c>
      <c r="E24" s="185">
        <f t="shared" si="2"/>
        <v>2.5642880859286413E-7</v>
      </c>
      <c r="F24" s="188" t="s">
        <v>118</v>
      </c>
      <c r="G24" s="150">
        <f>'Input Information'!$B$33*E24</f>
        <v>0</v>
      </c>
      <c r="H24" s="150">
        <f t="shared" si="3"/>
        <v>0</v>
      </c>
      <c r="J24" s="151">
        <v>2</v>
      </c>
      <c r="K24" s="151" t="s">
        <v>87</v>
      </c>
    </row>
    <row r="25" spans="2:11" ht="15">
      <c r="B25" s="187" t="s">
        <v>33</v>
      </c>
      <c r="C25" s="156" t="s">
        <v>34</v>
      </c>
      <c r="D25" s="155">
        <v>1.1299999999999999E-3</v>
      </c>
      <c r="E25" s="185">
        <f t="shared" si="2"/>
        <v>1.3540399706071796E-4</v>
      </c>
      <c r="F25" s="188" t="s">
        <v>118</v>
      </c>
      <c r="G25" s="150">
        <f>'Input Information'!$B$33*E25</f>
        <v>0</v>
      </c>
      <c r="H25" s="150">
        <f t="shared" si="3"/>
        <v>0</v>
      </c>
      <c r="J25" s="151" t="s">
        <v>86</v>
      </c>
      <c r="K25" s="151" t="s">
        <v>87</v>
      </c>
    </row>
    <row r="26" spans="2:11" ht="15">
      <c r="B26" s="187" t="s">
        <v>69</v>
      </c>
      <c r="C26" s="156" t="s">
        <v>70</v>
      </c>
      <c r="D26" s="155">
        <v>3.1E-9</v>
      </c>
      <c r="E26" s="185">
        <f t="shared" si="2"/>
        <v>3.7146229282143872E-10</v>
      </c>
      <c r="F26" s="188" t="s">
        <v>219</v>
      </c>
      <c r="G26" s="150">
        <f>'Input Information'!$B$33*E26</f>
        <v>0</v>
      </c>
      <c r="H26" s="150">
        <f t="shared" si="3"/>
        <v>0</v>
      </c>
      <c r="J26" s="151">
        <v>3</v>
      </c>
      <c r="K26" s="151" t="s">
        <v>87</v>
      </c>
    </row>
    <row r="27" spans="2:11" ht="15">
      <c r="B27" s="187" t="s">
        <v>71</v>
      </c>
      <c r="C27" s="156" t="s">
        <v>72</v>
      </c>
      <c r="D27" s="155">
        <v>1.0499999999999999E-5</v>
      </c>
      <c r="E27" s="185">
        <f t="shared" si="2"/>
        <v>1.2581787337500342E-6</v>
      </c>
      <c r="F27" s="188" t="s">
        <v>219</v>
      </c>
      <c r="G27" s="150">
        <f>'Input Information'!$B$33*E27</f>
        <v>0</v>
      </c>
      <c r="H27" s="150">
        <f t="shared" si="3"/>
        <v>0</v>
      </c>
      <c r="J27" s="151">
        <v>2</v>
      </c>
      <c r="K27" s="151" t="s">
        <v>87</v>
      </c>
    </row>
    <row r="28" spans="2:11" ht="15">
      <c r="B28" s="187" t="s">
        <v>73</v>
      </c>
      <c r="C28" s="156" t="s">
        <v>74</v>
      </c>
      <c r="D28" s="155">
        <v>4.25E-6</v>
      </c>
      <c r="E28" s="185">
        <f t="shared" si="2"/>
        <v>5.092628208035853E-7</v>
      </c>
      <c r="F28" s="188" t="s">
        <v>118</v>
      </c>
      <c r="G28" s="150">
        <f>'Input Information'!$B$33*E28</f>
        <v>0</v>
      </c>
      <c r="H28" s="150">
        <f t="shared" si="3"/>
        <v>0</v>
      </c>
      <c r="J28" s="151">
        <v>2</v>
      </c>
      <c r="K28" s="151" t="s">
        <v>87</v>
      </c>
    </row>
    <row r="29" spans="2:11" ht="15">
      <c r="B29" s="187" t="s">
        <v>75</v>
      </c>
      <c r="C29" s="156" t="s">
        <v>76</v>
      </c>
      <c r="D29" s="155">
        <v>6.1999999999999998E-3</v>
      </c>
      <c r="E29" s="185">
        <f t="shared" si="2"/>
        <v>7.4292458564287735E-4</v>
      </c>
      <c r="F29" s="188" t="s">
        <v>153</v>
      </c>
      <c r="G29" s="150">
        <f>'Input Information'!$B$33*E29</f>
        <v>0</v>
      </c>
      <c r="H29" s="150">
        <f t="shared" si="3"/>
        <v>0</v>
      </c>
      <c r="J29" s="151" t="s">
        <v>86</v>
      </c>
      <c r="K29" s="151">
        <v>5</v>
      </c>
    </row>
    <row r="30" spans="2:11" ht="15">
      <c r="B30" s="160" t="s">
        <v>92</v>
      </c>
      <c r="C30" s="156" t="s">
        <v>77</v>
      </c>
      <c r="D30" s="155">
        <v>1.0900000000000001E-4</v>
      </c>
      <c r="E30" s="185">
        <f t="shared" si="2"/>
        <v>1.3061093521786072E-5</v>
      </c>
      <c r="F30" s="188" t="s">
        <v>219</v>
      </c>
      <c r="G30" s="150">
        <f>'Input Information'!$B$33*E30</f>
        <v>0</v>
      </c>
      <c r="H30" s="150">
        <f t="shared" si="3"/>
        <v>0</v>
      </c>
      <c r="J30" s="151" t="s">
        <v>86</v>
      </c>
      <c r="K30" s="151">
        <v>5</v>
      </c>
    </row>
    <row r="31" spans="2:11" ht="15">
      <c r="B31" s="157" t="s">
        <v>98</v>
      </c>
      <c r="C31" s="159" t="s">
        <v>97</v>
      </c>
      <c r="D31" s="155">
        <v>2.1100000000000001E-5</v>
      </c>
      <c r="E31" s="185">
        <f t="shared" si="2"/>
        <v>2.528340122107212E-6</v>
      </c>
      <c r="F31" s="188" t="s">
        <v>118</v>
      </c>
      <c r="G31" s="150">
        <f>'Input Information'!$B$33*E31</f>
        <v>0</v>
      </c>
      <c r="H31" s="150">
        <f t="shared" si="3"/>
        <v>0</v>
      </c>
      <c r="J31" s="151">
        <v>2</v>
      </c>
      <c r="K31" s="151" t="s">
        <v>87</v>
      </c>
    </row>
    <row r="32" spans="2:11" ht="15">
      <c r="B32" s="157" t="s">
        <v>273</v>
      </c>
      <c r="C32" s="159" t="s">
        <v>99</v>
      </c>
      <c r="D32" s="155">
        <v>2.53E-7</v>
      </c>
      <c r="E32" s="185">
        <f t="shared" si="2"/>
        <v>3.0316116156072255E-8</v>
      </c>
      <c r="F32" s="188" t="s">
        <v>153</v>
      </c>
      <c r="G32" s="150">
        <f>'Input Information'!$B$33*E32</f>
        <v>0</v>
      </c>
      <c r="H32" s="150">
        <f t="shared" si="3"/>
        <v>0</v>
      </c>
      <c r="J32" s="151">
        <v>2</v>
      </c>
      <c r="K32" s="151" t="s">
        <v>87</v>
      </c>
    </row>
    <row r="33" spans="2:11" ht="15">
      <c r="B33" s="157" t="s">
        <v>101</v>
      </c>
      <c r="C33" s="159" t="s">
        <v>100</v>
      </c>
      <c r="D33" s="155">
        <v>4.4700000000000004E-6</v>
      </c>
      <c r="E33" s="185">
        <f t="shared" si="2"/>
        <v>5.3562466093930034E-7</v>
      </c>
      <c r="F33" s="188" t="s">
        <v>118</v>
      </c>
      <c r="G33" s="150">
        <f>'Input Information'!$B$33*E33</f>
        <v>0</v>
      </c>
      <c r="H33" s="150">
        <f t="shared" si="3"/>
        <v>0</v>
      </c>
      <c r="J33" s="151">
        <v>2</v>
      </c>
      <c r="K33" s="151" t="s">
        <v>87</v>
      </c>
    </row>
    <row r="34" spans="2:11" ht="6" customHeight="1">
      <c r="B34" s="189"/>
      <c r="C34" s="190"/>
      <c r="D34" s="191"/>
      <c r="E34" s="191"/>
      <c r="F34" s="191"/>
      <c r="G34" s="192"/>
      <c r="H34" s="192"/>
      <c r="J34" s="161"/>
      <c r="K34" s="161"/>
    </row>
    <row r="35" spans="2:11" ht="18.75">
      <c r="B35" s="162" t="s">
        <v>263</v>
      </c>
      <c r="C35" s="193"/>
      <c r="D35" s="194"/>
      <c r="E35" s="191"/>
      <c r="F35" s="191"/>
      <c r="G35" s="192"/>
      <c r="H35" s="192"/>
      <c r="J35" s="161"/>
      <c r="K35" s="161"/>
    </row>
    <row r="36" spans="2:11" ht="15">
      <c r="B36" s="162" t="s">
        <v>133</v>
      </c>
      <c r="C36" s="193"/>
      <c r="D36" s="194"/>
      <c r="E36" s="191"/>
      <c r="F36" s="191"/>
      <c r="G36" s="192"/>
      <c r="H36" s="192"/>
      <c r="J36" s="161"/>
      <c r="K36" s="161"/>
    </row>
    <row r="37" spans="2:11">
      <c r="J37" s="161" t="str">
        <f>IFERROR(VLOOKUP(C37,#REF!,5,FALSE),"")</f>
        <v/>
      </c>
      <c r="K37" s="161" t="str">
        <f>IFERROR(VLOOKUP(C37,#REF!,5,FALSE),"")</f>
        <v/>
      </c>
    </row>
    <row r="38" spans="2:11" ht="36.6" customHeight="1">
      <c r="B38" s="266" t="s">
        <v>78</v>
      </c>
      <c r="C38" s="305" t="s">
        <v>200</v>
      </c>
      <c r="D38" s="268" t="s">
        <v>24</v>
      </c>
      <c r="E38" s="268"/>
      <c r="F38" s="270" t="s">
        <v>216</v>
      </c>
      <c r="G38" s="141" t="s">
        <v>164</v>
      </c>
      <c r="H38" s="141" t="s">
        <v>165</v>
      </c>
      <c r="J38" s="270" t="s">
        <v>84</v>
      </c>
      <c r="K38" s="270" t="s">
        <v>85</v>
      </c>
    </row>
    <row r="39" spans="2:11" ht="16.5">
      <c r="B39" s="266"/>
      <c r="C39" s="305"/>
      <c r="D39" s="195" t="s">
        <v>264</v>
      </c>
      <c r="E39" s="151" t="s">
        <v>251</v>
      </c>
      <c r="F39" s="271"/>
      <c r="G39" s="142" t="s">
        <v>25</v>
      </c>
      <c r="H39" s="184" t="s">
        <v>25</v>
      </c>
      <c r="J39" s="271"/>
      <c r="K39" s="271"/>
    </row>
    <row r="40" spans="2:11" ht="15">
      <c r="B40" s="157" t="s">
        <v>37</v>
      </c>
      <c r="C40" s="196" t="s">
        <v>38</v>
      </c>
      <c r="D40" s="195">
        <v>4</v>
      </c>
      <c r="E40" s="185">
        <f>$B$55*D40*1000000000/1000000000000/2.20462/1055.06</f>
        <v>6.7067743893200199E-5</v>
      </c>
      <c r="F40" s="188" t="s">
        <v>219</v>
      </c>
      <c r="G40" s="150">
        <f>'Input Information'!$B$33*E40</f>
        <v>0</v>
      </c>
      <c r="H40" s="150">
        <f>(1-('Input Information'!$D$67/100))*G40</f>
        <v>0</v>
      </c>
      <c r="J40" s="151" t="s">
        <v>93</v>
      </c>
      <c r="K40" s="151" t="str">
        <f>IFERROR(VLOOKUP(C40,#REF!,5,FALSE),"")</f>
        <v/>
      </c>
    </row>
    <row r="41" spans="2:11" ht="15">
      <c r="B41" s="157" t="s">
        <v>39</v>
      </c>
      <c r="C41" s="196" t="s">
        <v>40</v>
      </c>
      <c r="D41" s="195">
        <v>3</v>
      </c>
      <c r="E41" s="185">
        <f t="shared" ref="E41:E49" si="4">$B$55*D41*1000000000/1000000000000/2.20462/1055.06</f>
        <v>5.030080791990016E-5</v>
      </c>
      <c r="F41" s="188" t="s">
        <v>219</v>
      </c>
      <c r="G41" s="150">
        <f>'Input Information'!$B$33*E41</f>
        <v>0</v>
      </c>
      <c r="H41" s="150">
        <f>(1-('Input Information'!$D$67/100))*G41</f>
        <v>0</v>
      </c>
      <c r="J41" s="151" t="s">
        <v>93</v>
      </c>
      <c r="K41" s="151" t="str">
        <f>IFERROR(VLOOKUP(C41,#REF!,5,FALSE),"")</f>
        <v/>
      </c>
    </row>
    <row r="42" spans="2:11" ht="15">
      <c r="B42" s="157" t="s">
        <v>79</v>
      </c>
      <c r="C42" s="196" t="s">
        <v>28</v>
      </c>
      <c r="D42" s="195">
        <v>3</v>
      </c>
      <c r="E42" s="185">
        <f t="shared" si="4"/>
        <v>5.030080791990016E-5</v>
      </c>
      <c r="F42" s="188" t="s">
        <v>219</v>
      </c>
      <c r="G42" s="150">
        <f>'Input Information'!$B$33*E42</f>
        <v>0</v>
      </c>
      <c r="H42" s="150">
        <f>(1-('Input Information'!$D$67/100))*G42</f>
        <v>0</v>
      </c>
      <c r="J42" s="151" t="s">
        <v>86</v>
      </c>
      <c r="K42" s="151" t="str">
        <f>IFERROR(VLOOKUP(C42,#REF!,5,FALSE),"")</f>
        <v/>
      </c>
    </row>
    <row r="43" spans="2:11" ht="15">
      <c r="B43" s="157" t="s">
        <v>80</v>
      </c>
      <c r="C43" s="196" t="s">
        <v>81</v>
      </c>
      <c r="D43" s="195">
        <v>6</v>
      </c>
      <c r="E43" s="185">
        <f t="shared" si="4"/>
        <v>1.0060161583980032E-4</v>
      </c>
      <c r="F43" s="188" t="s">
        <v>219</v>
      </c>
      <c r="G43" s="150">
        <f>'Input Information'!$B$33*E43</f>
        <v>0</v>
      </c>
      <c r="H43" s="150">
        <f>(1-('Input Information'!$D$67/100))*G43</f>
        <v>0</v>
      </c>
      <c r="J43" s="151" t="s">
        <v>86</v>
      </c>
      <c r="K43" s="151" t="str">
        <f>IFERROR(VLOOKUP(C43,#REF!,5,FALSE),"")</f>
        <v/>
      </c>
    </row>
    <row r="44" spans="2:11" ht="15">
      <c r="B44" s="157" t="s">
        <v>41</v>
      </c>
      <c r="C44" s="196" t="s">
        <v>42</v>
      </c>
      <c r="D44" s="195">
        <v>9</v>
      </c>
      <c r="E44" s="185">
        <f t="shared" si="4"/>
        <v>1.5090242375970044E-4</v>
      </c>
      <c r="F44" s="188" t="s">
        <v>219</v>
      </c>
      <c r="G44" s="150">
        <f>'Input Information'!$B$33*E44</f>
        <v>0</v>
      </c>
      <c r="H44" s="150">
        <f>(1-('Input Information'!$D$67/100))*G44</f>
        <v>0</v>
      </c>
      <c r="J44" s="151" t="s">
        <v>93</v>
      </c>
      <c r="K44" s="151" t="str">
        <f>IFERROR(VLOOKUP(C44,#REF!,5,FALSE),"")</f>
        <v/>
      </c>
    </row>
    <row r="45" spans="2:11" ht="15">
      <c r="B45" s="157" t="s">
        <v>31</v>
      </c>
      <c r="C45" s="196" t="s">
        <v>32</v>
      </c>
      <c r="D45" s="195">
        <v>6</v>
      </c>
      <c r="E45" s="185">
        <f t="shared" si="4"/>
        <v>1.0060161583980032E-4</v>
      </c>
      <c r="F45" s="188" t="s">
        <v>219</v>
      </c>
      <c r="G45" s="150">
        <f>'Input Information'!$B$33*E45</f>
        <v>0</v>
      </c>
      <c r="H45" s="150">
        <f>(1-('Input Information'!$D$67/100))*G45</f>
        <v>0</v>
      </c>
      <c r="J45" s="151" t="s">
        <v>86</v>
      </c>
      <c r="K45" s="151" t="str">
        <f>IFERROR(VLOOKUP(C45,#REF!,5,FALSE),"")</f>
        <v/>
      </c>
    </row>
    <row r="46" spans="2:11" ht="15">
      <c r="B46" s="157" t="s">
        <v>43</v>
      </c>
      <c r="C46" s="196" t="s">
        <v>44</v>
      </c>
      <c r="D46" s="195">
        <v>3</v>
      </c>
      <c r="E46" s="185">
        <f t="shared" si="4"/>
        <v>5.030080791990016E-5</v>
      </c>
      <c r="F46" s="188" t="s">
        <v>219</v>
      </c>
      <c r="G46" s="150">
        <f>'Input Information'!$B$33*E46</f>
        <v>0</v>
      </c>
      <c r="H46" s="150">
        <f>(1-('Input Information'!$D$67/100))*G46</f>
        <v>0</v>
      </c>
      <c r="J46" s="151" t="s">
        <v>93</v>
      </c>
      <c r="K46" s="151" t="str">
        <f>IFERROR(VLOOKUP(C46,#REF!,5,FALSE),"")</f>
        <v/>
      </c>
    </row>
    <row r="47" spans="2:11" ht="15">
      <c r="B47" s="157" t="s">
        <v>35</v>
      </c>
      <c r="C47" s="196" t="s">
        <v>36</v>
      </c>
      <c r="D47" s="195">
        <v>3</v>
      </c>
      <c r="E47" s="185">
        <f t="shared" si="4"/>
        <v>5.030080791990016E-5</v>
      </c>
      <c r="F47" s="188" t="s">
        <v>219</v>
      </c>
      <c r="G47" s="150">
        <f>'Input Information'!$B$33*E47</f>
        <v>0</v>
      </c>
      <c r="H47" s="150">
        <f>(1-('Input Information'!$D$67/100))*G47</f>
        <v>0</v>
      </c>
      <c r="J47" s="151" t="s">
        <v>86</v>
      </c>
      <c r="K47" s="151" t="str">
        <f>IFERROR(VLOOKUP(C47,#REF!,5,FALSE),"")</f>
        <v/>
      </c>
    </row>
    <row r="48" spans="2:11" ht="15">
      <c r="B48" s="157" t="s">
        <v>45</v>
      </c>
      <c r="C48" s="196" t="s">
        <v>46</v>
      </c>
      <c r="D48" s="195">
        <v>15</v>
      </c>
      <c r="E48" s="185">
        <f t="shared" si="4"/>
        <v>2.5150403959950076E-4</v>
      </c>
      <c r="F48" s="188" t="s">
        <v>219</v>
      </c>
      <c r="G48" s="150">
        <f>'Input Information'!$B$33*E48</f>
        <v>0</v>
      </c>
      <c r="H48" s="150">
        <f>(1-('Input Information'!$D$67/100))*G48</f>
        <v>0</v>
      </c>
      <c r="J48" s="151" t="s">
        <v>93</v>
      </c>
      <c r="K48" s="151" t="str">
        <f>IFERROR(VLOOKUP(C48,#REF!,5,FALSE),"")</f>
        <v/>
      </c>
    </row>
    <row r="49" spans="2:11" ht="15">
      <c r="B49" s="157" t="s">
        <v>82</v>
      </c>
      <c r="C49" s="196" t="s">
        <v>83</v>
      </c>
      <c r="D49" s="195">
        <v>4</v>
      </c>
      <c r="E49" s="185">
        <f t="shared" si="4"/>
        <v>6.7067743893200199E-5</v>
      </c>
      <c r="F49" s="188" t="s">
        <v>219</v>
      </c>
      <c r="G49" s="150">
        <f>'Input Information'!$B$33*E49</f>
        <v>0</v>
      </c>
      <c r="H49" s="150">
        <f>(1-('Input Information'!$D$67/100))*G49</f>
        <v>0</v>
      </c>
      <c r="J49" s="151" t="s">
        <v>86</v>
      </c>
      <c r="K49" s="151" t="str">
        <f>IFERROR(VLOOKUP(C49,#REF!,5,FALSE),"")</f>
        <v/>
      </c>
    </row>
    <row r="50" spans="2:11" ht="2.25" customHeight="1">
      <c r="B50" s="197"/>
      <c r="C50" s="193"/>
      <c r="D50" s="161"/>
      <c r="E50" s="191"/>
      <c r="F50" s="191"/>
      <c r="G50" s="192"/>
      <c r="H50" s="192"/>
      <c r="J50" s="161"/>
      <c r="K50" s="161"/>
    </row>
    <row r="51" spans="2:11" ht="15">
      <c r="B51" s="197" t="s">
        <v>134</v>
      </c>
      <c r="C51" s="193"/>
      <c r="D51" s="161"/>
      <c r="E51" s="191"/>
      <c r="F51" s="191"/>
      <c r="G51" s="192"/>
      <c r="H51" s="192"/>
      <c r="J51" s="161"/>
      <c r="K51" s="161"/>
    </row>
    <row r="53" spans="2:11">
      <c r="B53" s="183" t="s">
        <v>284</v>
      </c>
    </row>
    <row r="54" spans="2:11" ht="16.5">
      <c r="B54" s="183" t="s">
        <v>265</v>
      </c>
    </row>
    <row r="55" spans="2:11">
      <c r="B55" s="198">
        <f>'Input Information'!$C$16</f>
        <v>39</v>
      </c>
    </row>
    <row r="58" spans="2:11" ht="18.75">
      <c r="B58" s="290" t="s">
        <v>266</v>
      </c>
      <c r="C58" s="290"/>
      <c r="D58" s="290"/>
      <c r="E58" s="290"/>
      <c r="F58" s="209"/>
    </row>
    <row r="59" spans="2:11" ht="4.5" customHeight="1"/>
    <row r="60" spans="2:11" ht="15">
      <c r="B60" s="199" t="s">
        <v>120</v>
      </c>
      <c r="C60" s="200"/>
      <c r="D60" s="291" t="s">
        <v>124</v>
      </c>
      <c r="E60" s="291"/>
    </row>
    <row r="61" spans="2:11" ht="15">
      <c r="B61" s="199" t="s">
        <v>121</v>
      </c>
      <c r="C61" s="200"/>
      <c r="D61" s="205" t="s">
        <v>123</v>
      </c>
      <c r="E61" s="205" t="str">
        <f>'Input Information'!$H$37</f>
        <v>I</v>
      </c>
    </row>
    <row r="62" spans="2:11" ht="15">
      <c r="B62" s="199" t="s">
        <v>122</v>
      </c>
      <c r="C62" s="200"/>
      <c r="D62" s="200"/>
      <c r="E62" s="200"/>
    </row>
    <row r="63" spans="2:11" ht="7.5" customHeight="1" thickBot="1">
      <c r="B63" s="201"/>
      <c r="C63" s="202"/>
      <c r="D63" s="202"/>
      <c r="E63" s="202"/>
    </row>
    <row r="64" spans="2:11" ht="16.5" customHeight="1">
      <c r="B64" s="303" t="s">
        <v>267</v>
      </c>
      <c r="C64" s="304"/>
      <c r="D64" s="300" t="s">
        <v>216</v>
      </c>
      <c r="E64" s="286" t="s">
        <v>283</v>
      </c>
    </row>
    <row r="65" spans="2:5" ht="15" customHeight="1">
      <c r="B65" s="277" t="s">
        <v>127</v>
      </c>
      <c r="C65" s="206"/>
      <c r="D65" s="302"/>
      <c r="E65" s="287"/>
    </row>
    <row r="66" spans="2:5" ht="17.25" customHeight="1" thickBot="1">
      <c r="B66" s="277"/>
      <c r="C66" s="205" t="s">
        <v>233</v>
      </c>
      <c r="D66" s="214" t="s">
        <v>235</v>
      </c>
      <c r="E66" s="288"/>
    </row>
    <row r="67" spans="2:5" ht="15" thickBot="1">
      <c r="B67" s="221" t="s">
        <v>117</v>
      </c>
      <c r="C67" s="180">
        <v>1</v>
      </c>
      <c r="D67" s="215" t="s">
        <v>219</v>
      </c>
      <c r="E67" s="212">
        <f>INDEX($C$67:$D$69,MATCH($E$61,$B$67:$B$69,0),MATCH("EF",$C$66:$D$66,0))</f>
        <v>1</v>
      </c>
    </row>
    <row r="68" spans="2:5" ht="15" thickBot="1">
      <c r="B68" s="221" t="s">
        <v>118</v>
      </c>
      <c r="C68" s="180">
        <v>1.08</v>
      </c>
      <c r="D68" s="215" t="s">
        <v>153</v>
      </c>
      <c r="E68" s="213" t="str">
        <f>INDEX($C$67:$D$69,MATCH($E$61,$B$67:$B$69,0),MATCH("Rating",$C$66:$D$66,0))</f>
        <v>E</v>
      </c>
    </row>
    <row r="69" spans="2:5" ht="15" thickBot="1">
      <c r="B69" s="222" t="s">
        <v>119</v>
      </c>
      <c r="C69" s="216">
        <v>1</v>
      </c>
      <c r="D69" s="217" t="s">
        <v>219</v>
      </c>
    </row>
    <row r="70" spans="2:5" ht="3" customHeight="1">
      <c r="B70" s="199"/>
      <c r="C70" s="200"/>
      <c r="D70" s="202"/>
      <c r="E70" s="202"/>
    </row>
    <row r="71" spans="2:5" ht="15">
      <c r="B71" s="219" t="s">
        <v>285</v>
      </c>
      <c r="C71" s="200"/>
      <c r="D71" s="202"/>
      <c r="E71" s="202"/>
    </row>
    <row r="72" spans="2:5" ht="15">
      <c r="B72" s="219" t="s">
        <v>234</v>
      </c>
      <c r="C72" s="200"/>
      <c r="D72" s="202"/>
      <c r="E72" s="202"/>
    </row>
    <row r="73" spans="2:5" ht="15">
      <c r="B73" s="220" t="s">
        <v>286</v>
      </c>
      <c r="C73" s="200"/>
      <c r="D73" s="202"/>
      <c r="E73" s="202"/>
    </row>
    <row r="74" spans="2:5" ht="15.75" thickBot="1">
      <c r="B74" s="199"/>
      <c r="C74" s="200"/>
      <c r="D74" s="202"/>
      <c r="E74" s="202"/>
    </row>
    <row r="75" spans="2:5" ht="16.5">
      <c r="B75" s="303" t="s">
        <v>268</v>
      </c>
      <c r="C75" s="304"/>
      <c r="D75" s="300" t="s">
        <v>216</v>
      </c>
      <c r="E75" s="286" t="s">
        <v>283</v>
      </c>
    </row>
    <row r="76" spans="2:5">
      <c r="B76" s="277" t="s">
        <v>127</v>
      </c>
      <c r="C76" s="206"/>
      <c r="D76" s="302"/>
      <c r="E76" s="287"/>
    </row>
    <row r="77" spans="2:5" ht="15" thickBot="1">
      <c r="B77" s="277"/>
      <c r="C77" s="205" t="s">
        <v>233</v>
      </c>
      <c r="D77" s="214" t="s">
        <v>235</v>
      </c>
      <c r="E77" s="288"/>
    </row>
    <row r="78" spans="2:5" ht="15" thickBot="1">
      <c r="B78" s="221" t="s">
        <v>117</v>
      </c>
      <c r="C78" s="180">
        <v>0.25</v>
      </c>
      <c r="D78" s="215" t="s">
        <v>219</v>
      </c>
      <c r="E78" s="218">
        <f>INDEX($C$78:$D$80,MATCH($E$61,$B$78:$B$80,0),MATCH("EF",$C$77:$D$77,0))</f>
        <v>0.25</v>
      </c>
    </row>
    <row r="79" spans="2:5" ht="15" thickBot="1">
      <c r="B79" s="221" t="s">
        <v>118</v>
      </c>
      <c r="C79" s="180">
        <v>0.83</v>
      </c>
      <c r="D79" s="215" t="s">
        <v>153</v>
      </c>
      <c r="E79" s="213" t="str">
        <f>INDEX($C$67:$D$69,MATCH($E$61,$B$67:$B$69,0),MATCH("Rating",$C$66:$D$66,0))</f>
        <v>E</v>
      </c>
    </row>
    <row r="80" spans="2:5" ht="15" thickBot="1">
      <c r="B80" s="222" t="s">
        <v>119</v>
      </c>
      <c r="C80" s="216">
        <v>0.25</v>
      </c>
      <c r="D80" s="217" t="s">
        <v>219</v>
      </c>
    </row>
    <row r="81" spans="2:5" ht="3.75" customHeight="1">
      <c r="B81" s="199"/>
      <c r="C81" s="200"/>
      <c r="D81" s="202"/>
      <c r="E81" s="202"/>
    </row>
    <row r="82" spans="2:5" ht="15">
      <c r="B82" s="219" t="s">
        <v>285</v>
      </c>
      <c r="C82" s="200"/>
      <c r="D82" s="202"/>
      <c r="E82" s="202"/>
    </row>
    <row r="83" spans="2:5" ht="15">
      <c r="B83" s="219" t="s">
        <v>234</v>
      </c>
      <c r="C83" s="200"/>
      <c r="D83" s="202"/>
      <c r="E83" s="202"/>
    </row>
    <row r="84" spans="2:5" ht="15">
      <c r="B84" s="220" t="s">
        <v>286</v>
      </c>
      <c r="C84" s="200"/>
      <c r="D84" s="202"/>
      <c r="E84" s="202"/>
    </row>
    <row r="85" spans="2:5" ht="15.75" thickBot="1">
      <c r="B85" s="199"/>
      <c r="C85" s="200"/>
      <c r="D85" s="202"/>
      <c r="E85" s="202"/>
    </row>
    <row r="86" spans="2:5" ht="17.25" customHeight="1">
      <c r="B86" s="303" t="s">
        <v>269</v>
      </c>
      <c r="C86" s="304"/>
      <c r="D86" s="300" t="s">
        <v>216</v>
      </c>
      <c r="E86" s="286" t="s">
        <v>283</v>
      </c>
    </row>
    <row r="87" spans="2:5">
      <c r="B87" s="277" t="s">
        <v>127</v>
      </c>
      <c r="C87" s="206"/>
      <c r="D87" s="302"/>
      <c r="E87" s="287"/>
    </row>
    <row r="88" spans="2:5" ht="15" thickBot="1">
      <c r="B88" s="277"/>
      <c r="C88" s="205" t="s">
        <v>233</v>
      </c>
      <c r="D88" s="214" t="s">
        <v>235</v>
      </c>
      <c r="E88" s="288"/>
    </row>
    <row r="89" spans="2:5" ht="15" thickBot="1">
      <c r="B89" s="221" t="s">
        <v>117</v>
      </c>
      <c r="C89" s="180">
        <v>0.2</v>
      </c>
      <c r="D89" s="215" t="s">
        <v>218</v>
      </c>
      <c r="E89" s="211">
        <f>INDEX($C$89:$D$91,MATCH($E$61,$B$89:$B$91,0),MATCH("EF",$C$88:$D$88,0))</f>
        <v>0.2</v>
      </c>
    </row>
    <row r="90" spans="2:5" ht="15" thickBot="1">
      <c r="B90" s="221" t="s">
        <v>118</v>
      </c>
      <c r="C90" s="180">
        <v>0.34</v>
      </c>
      <c r="D90" s="215" t="s">
        <v>218</v>
      </c>
      <c r="E90" s="203" t="str">
        <f>INDEX($C$67:$D$69,MATCH($E$61,$B$67:$B$69,0),MATCH("Rating",$C$66:$D$66,0))</f>
        <v>E</v>
      </c>
    </row>
    <row r="91" spans="2:5" ht="15" thickBot="1">
      <c r="B91" s="222" t="s">
        <v>119</v>
      </c>
      <c r="C91" s="216">
        <v>0.2</v>
      </c>
      <c r="D91" s="217" t="s">
        <v>218</v>
      </c>
    </row>
    <row r="92" spans="2:5" ht="5.25" customHeight="1">
      <c r="B92" s="201"/>
      <c r="C92" s="202"/>
      <c r="D92" s="202"/>
      <c r="E92" s="202"/>
    </row>
    <row r="93" spans="2:5" ht="15">
      <c r="B93" s="197" t="s">
        <v>285</v>
      </c>
      <c r="C93" s="202"/>
      <c r="D93" s="202"/>
      <c r="E93" s="202"/>
    </row>
    <row r="94" spans="2:5" ht="15">
      <c r="B94" s="197" t="s">
        <v>234</v>
      </c>
      <c r="C94" s="202"/>
      <c r="D94" s="202"/>
      <c r="E94" s="202"/>
    </row>
    <row r="95" spans="2:5" ht="15">
      <c r="B95" s="220" t="s">
        <v>286</v>
      </c>
      <c r="C95" s="202"/>
      <c r="D95" s="202"/>
      <c r="E95" s="202"/>
    </row>
  </sheetData>
  <sheetProtection password="CA53" sheet="1" objects="1" scenarios="1"/>
  <mergeCells count="26">
    <mergeCell ref="B86:C86"/>
    <mergeCell ref="D86:D87"/>
    <mergeCell ref="E86:E88"/>
    <mergeCell ref="B87:B88"/>
    <mergeCell ref="K4:K5"/>
    <mergeCell ref="B4:B5"/>
    <mergeCell ref="C4:C5"/>
    <mergeCell ref="F4:F5"/>
    <mergeCell ref="J38:J39"/>
    <mergeCell ref="K38:K39"/>
    <mergeCell ref="F38:F39"/>
    <mergeCell ref="B38:B39"/>
    <mergeCell ref="C38:C39"/>
    <mergeCell ref="D38:E38"/>
    <mergeCell ref="B75:C75"/>
    <mergeCell ref="D75:D76"/>
    <mergeCell ref="E75:E77"/>
    <mergeCell ref="D4:E4"/>
    <mergeCell ref="J4:J5"/>
    <mergeCell ref="B65:B66"/>
    <mergeCell ref="B64:C64"/>
    <mergeCell ref="E64:E66"/>
    <mergeCell ref="D64:D65"/>
    <mergeCell ref="D60:E60"/>
    <mergeCell ref="B76:B77"/>
    <mergeCell ref="B58:E58"/>
  </mergeCells>
  <pageMargins left="0.39370078740157483" right="0.39370078740157483" top="0.55118110236220474" bottom="0.39370078740157483" header="0.31496062992125984" footer="0.31496062992125984"/>
  <pageSetup scale="58" orientation="landscape" r:id="rId1"/>
  <rowBreaks count="1" manualBreakCount="1">
    <brk id="56" max="8" man="1"/>
  </rowBreaks>
  <extLst>
    <ext xmlns:x14="http://schemas.microsoft.com/office/spreadsheetml/2009/9/main" uri="{78C0D931-6437-407d-A8EE-F0AAD7539E65}">
      <x14:conditionalFormattings>
        <x14:conditionalFormatting xmlns:xm="http://schemas.microsoft.com/office/excel/2006/main">
          <x14:cfRule type="expression" priority="3" id="{A90EA407-C66D-4031-8A75-BA77B6B5964A}">
            <xm:f>'Input Information'!$H$4="R"</xm:f>
            <x14:dxf>
              <fill>
                <patternFill patternType="darkGray"/>
              </fill>
            </x14:dxf>
          </x14:cfRule>
          <xm:sqref>D6:H30 D40:H49 E31:E33 G31:H33</xm:sqref>
        </x14:conditionalFormatting>
        <x14:conditionalFormatting xmlns:xm="http://schemas.microsoft.com/office/excel/2006/main">
          <x14:cfRule type="expression" priority="2" id="{51F771B6-20B4-4030-ABF1-D1152D5A6305}">
            <xm:f>'Input Information'!$H$4="R"</xm:f>
            <x14:dxf>
              <fill>
                <patternFill patternType="darkGray"/>
              </fill>
            </x14:dxf>
          </x14:cfRule>
          <xm:sqref>D31:D33</xm:sqref>
        </x14:conditionalFormatting>
        <x14:conditionalFormatting xmlns:xm="http://schemas.microsoft.com/office/excel/2006/main">
          <x14:cfRule type="expression" priority="1" id="{C8936411-4B47-4745-A0EE-B56F36CB3EF5}">
            <xm:f>'Input Information'!$H$4="R"</xm:f>
            <x14:dxf>
              <fill>
                <patternFill patternType="darkGray"/>
              </fill>
            </x14:dxf>
          </x14:cfRule>
          <xm:sqref>F31:F33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Input Information</vt:lpstr>
      <vt:lpstr>Part 1 Releases</vt:lpstr>
      <vt:lpstr>Parts 2 and 3 Releases</vt:lpstr>
      <vt:lpstr>Part 4 Releases </vt:lpstr>
      <vt:lpstr>Part 5 Releases</vt:lpstr>
      <vt:lpstr>Site-Specific Emission Factors</vt:lpstr>
      <vt:lpstr>RESIDUAL MASTER SHEET</vt:lpstr>
      <vt:lpstr>DISTILLATE MASTER SHEET</vt:lpstr>
      <vt:lpstr>'DISTILLATE MASTER SHEET'!Print_Area</vt:lpstr>
      <vt:lpstr>'Input Information'!Print_Area</vt:lpstr>
      <vt:lpstr>Instructions!Print_Area</vt:lpstr>
      <vt:lpstr>'Part 1 Releases'!Print_Area</vt:lpstr>
      <vt:lpstr>'Part 4 Releases '!Print_Area</vt:lpstr>
      <vt:lpstr>'Part 5 Releases'!Print_Area</vt:lpstr>
      <vt:lpstr>'Parts 2 and 3 Releases'!Print_Area</vt:lpstr>
      <vt:lpstr>'RESIDUAL MASTER SHEET'!Print_Area</vt:lpstr>
      <vt:lpstr>'Site-Specific Emission Factors'!Print_Area</vt:lpstr>
      <vt:lpstr>'DISTILLATE MASTER SHEET'!Print_Titles</vt:lpstr>
      <vt:lpstr>'Input Information'!Print_Titles</vt:lpstr>
      <vt:lpstr>'RESIDUAL MASTER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Asili, Vahid</dc:creator>
  <cp:lastModifiedBy>Hawirko,Jason [Edm]</cp:lastModifiedBy>
  <cp:lastPrinted>2020-03-10T19:29:15Z</cp:lastPrinted>
  <dcterms:created xsi:type="dcterms:W3CDTF">2020-01-10T15:48:31Z</dcterms:created>
  <dcterms:modified xsi:type="dcterms:W3CDTF">2023-02-01T16:13:55Z</dcterms:modified>
</cp:coreProperties>
</file>