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cr.int.ec.gc.ca\shares\S\SRAD_PID\NPRI Implementation\Toolbox_v2\_Tools_Guides\Large_Stationary_Diesel_Engine\"/>
    </mc:Choice>
  </mc:AlternateContent>
  <workbookProtection workbookPassword="CA53" lockStructure="1"/>
  <bookViews>
    <workbookView xWindow="0" yWindow="0" windowWidth="16380" windowHeight="8190" tabRatio="956"/>
  </bookViews>
  <sheets>
    <sheet name="Instructions " sheetId="1" r:id="rId1"/>
    <sheet name="Entrez les données" sheetId="2" r:id="rId2"/>
    <sheet name="Rejets de la Partie 1" sheetId="3" r:id="rId3"/>
    <sheet name="Rejets des Parties 2 et 3" sheetId="4" r:id="rId4"/>
    <sheet name="Rejets de la Partie 4" sheetId="5" r:id="rId5"/>
    <sheet name="Rejets de la Partie 5" sheetId="6" r:id="rId6"/>
    <sheet name="Histoire" sheetId="7" state="hidden" r:id="rId7"/>
  </sheets>
  <calcPr calcId="162913"/>
</workbook>
</file>

<file path=xl/calcChain.xml><?xml version="1.0" encoding="utf-8"?>
<calcChain xmlns="http://schemas.openxmlformats.org/spreadsheetml/2006/main">
  <c r="C6" i="5" l="1"/>
  <c r="C5" i="3"/>
  <c r="C6" i="3"/>
  <c r="C6" i="4"/>
  <c r="B8" i="2" l="1"/>
  <c r="G5" i="6" s="1"/>
  <c r="C4" i="3"/>
  <c r="C7" i="3"/>
  <c r="C8" i="3"/>
  <c r="C9" i="3"/>
  <c r="C10" i="3"/>
  <c r="C11" i="3"/>
  <c r="C4" i="5"/>
  <c r="C5" i="5"/>
  <c r="C7" i="5"/>
  <c r="C8" i="5"/>
  <c r="C9" i="5"/>
  <c r="C10" i="5"/>
  <c r="C4" i="6"/>
  <c r="C5" i="6"/>
  <c r="C6" i="6"/>
  <c r="C7" i="6"/>
  <c r="C8" i="6"/>
  <c r="C4" i="4"/>
  <c r="C5" i="4"/>
  <c r="C7" i="4"/>
  <c r="C8" i="4"/>
  <c r="C9" i="4"/>
  <c r="C10" i="4"/>
  <c r="C11" i="4"/>
  <c r="C12" i="4"/>
  <c r="C13" i="4"/>
  <c r="C14" i="4"/>
  <c r="C15" i="4"/>
  <c r="C16" i="4"/>
  <c r="C17" i="4"/>
  <c r="C18" i="4"/>
  <c r="F4" i="4" l="1"/>
  <c r="G7" i="4"/>
  <c r="F9" i="4"/>
  <c r="G13" i="4"/>
  <c r="G8" i="5"/>
  <c r="F4" i="5"/>
  <c r="F17" i="4"/>
  <c r="G9" i="4"/>
  <c r="G10" i="5"/>
  <c r="G4" i="5"/>
  <c r="G17" i="4"/>
  <c r="F8" i="3"/>
  <c r="G10" i="3"/>
  <c r="F5" i="6"/>
  <c r="G15" i="4"/>
  <c r="G4" i="4"/>
  <c r="F16" i="4"/>
  <c r="G6" i="4"/>
  <c r="F6" i="4"/>
  <c r="F8" i="5"/>
  <c r="F13" i="4"/>
  <c r="G11" i="4"/>
  <c r="G7" i="6"/>
  <c r="G6" i="5"/>
  <c r="G8" i="3"/>
  <c r="G6" i="3"/>
  <c r="F4" i="3"/>
  <c r="F5" i="3"/>
  <c r="F9" i="3"/>
  <c r="F5" i="5"/>
  <c r="F9" i="5"/>
  <c r="F6" i="6"/>
  <c r="F5" i="4"/>
  <c r="F10" i="4"/>
  <c r="F14" i="4"/>
  <c r="F18" i="4"/>
  <c r="F10" i="3"/>
  <c r="F10" i="5"/>
  <c r="F7" i="4"/>
  <c r="F15" i="4"/>
  <c r="G14" i="4"/>
  <c r="G8" i="4"/>
  <c r="G6" i="6"/>
  <c r="G5" i="5"/>
  <c r="G11" i="3"/>
  <c r="G9" i="3"/>
  <c r="G7" i="3"/>
  <c r="G5" i="3"/>
  <c r="G4" i="3"/>
  <c r="F6" i="3"/>
  <c r="F6" i="5"/>
  <c r="F7" i="6"/>
  <c r="F11" i="4"/>
  <c r="G18" i="4"/>
  <c r="G16" i="4"/>
  <c r="G12" i="4"/>
  <c r="G10" i="4"/>
  <c r="G5" i="4"/>
  <c r="G8" i="6"/>
  <c r="G4" i="6"/>
  <c r="G9" i="5"/>
  <c r="G7" i="5"/>
  <c r="F7" i="3"/>
  <c r="F11" i="3"/>
  <c r="F7" i="5"/>
  <c r="F4" i="6"/>
  <c r="F8" i="6"/>
  <c r="F8" i="4"/>
  <c r="F12" i="4"/>
</calcChain>
</file>

<file path=xl/sharedStrings.xml><?xml version="1.0" encoding="utf-8"?>
<sst xmlns="http://schemas.openxmlformats.org/spreadsheetml/2006/main" count="277" uniqueCount="124">
  <si>
    <t>But</t>
  </si>
  <si>
    <t>Comment utiliser l'outil d'estimation</t>
  </si>
  <si>
    <t xml:space="preserve">Puisque les seuils de déclaration de l'INRP s'appliquent à l'installation dans son ensemble, les rejets atmosphériques  calculés dans ce tableur doivent être ajoutés aux activités menées à l'installation ainsi qu'aux rejets d'autres sources (rejets atmosphériques) de l'INRP.  </t>
  </si>
  <si>
    <t>Avant d'utiliser les nombres calculés dans ce tableur, assurez-vous que seuls les processus employés à votre installation sont représentés dans l'onglet respectif. Si vous remarquez qu'un processus a été inclu dans les calculs de rejets et qu'il n'est pas présent à votre installation, remplacez le facteur d'émission pour ce processus par le chiffre 0. Cela enlèvera les rejets liés à ce processus de vos calculs de rejets.</t>
  </si>
  <si>
    <t>Codes applicables de classification des sources utilisés pour la détermination du facteur d'émission de la base de données WebFIRE de l'EPA des États-Unis.</t>
  </si>
  <si>
    <t>Code CCS - 20200401</t>
  </si>
  <si>
    <t>Niveau 1 - Chaudières à combustion interne</t>
  </si>
  <si>
    <t xml:space="preserve"> </t>
  </si>
  <si>
    <t>Sources d'information</t>
  </si>
  <si>
    <t>Les facteurs d'émission sont tirés de la base de données WebFIRE (version Décembre 2005) et AP 42 Chapiter 3.3</t>
  </si>
  <si>
    <t>Renseignements supplémentaires</t>
  </si>
  <si>
    <t>Afin de préserver l'uniformité avec le logiciel de déclaration de l'INRP, ce classeur génère des valeurs de trois décimales, sauf pour les rejets des D/F qui sont étendus à six décimales.</t>
  </si>
  <si>
    <t xml:space="preserve">Le tableur a été rempli avec les facteurs d'émission par défaut. Cependant, si vous préférez utiliser un facteur d'émission propre à une installation, vous pouvez entrer ce facteur dans la colonne facteur d'émission. Si vous choisissez d'insérer votre propre facteur d'émission, assurez-vous que les unités ont été converties en conséquence.  </t>
  </si>
  <si>
    <t>Les facteurs d'émission utilisés dans ce tableur sont fondés sur des émissions non contrôlées. Si vous utilisez un dispositif de réduction des émissions, vous devrez ajuster les émissions calculées par ce tableur en fonction de la formule suivante:</t>
  </si>
  <si>
    <t>Émissions contrôlées = Émissions non contrôlées x ((100 - taux de réduction)/100)</t>
  </si>
  <si>
    <t>Entrez les données</t>
  </si>
  <si>
    <r>
      <t>Entrez la consommation de diesel en liters ou m</t>
    </r>
    <r>
      <rPr>
        <b/>
        <vertAlign val="superscript"/>
        <sz val="10"/>
        <rFont val="Arial"/>
        <family val="2"/>
      </rPr>
      <t>3</t>
    </r>
    <r>
      <rPr>
        <b/>
        <sz val="10"/>
        <rFont val="Arial"/>
        <family val="2"/>
      </rPr>
      <t>.</t>
    </r>
  </si>
  <si>
    <t>Taux d'activité</t>
  </si>
  <si>
    <t>Unités</t>
  </si>
  <si>
    <t>Diesel consommée</t>
  </si>
  <si>
    <t>Litres</t>
  </si>
  <si>
    <r>
      <t>m</t>
    </r>
    <r>
      <rPr>
        <vertAlign val="superscript"/>
        <sz val="10"/>
        <rFont val="Arial"/>
        <family val="2"/>
      </rPr>
      <t>3</t>
    </r>
  </si>
  <si>
    <r>
      <t>Remarque: 1 000 litres = 1m</t>
    </r>
    <r>
      <rPr>
        <vertAlign val="superscript"/>
        <sz val="10"/>
        <rFont val="Arial"/>
        <family val="2"/>
      </rPr>
      <t>3</t>
    </r>
  </si>
  <si>
    <r>
      <t>Remarque:  Ce tableur utilise une valeur calorifique de 38.184 GJ/m</t>
    </r>
    <r>
      <rPr>
        <b/>
        <vertAlign val="superscript"/>
        <sz val="10"/>
        <rFont val="Arial"/>
        <family val="2"/>
      </rPr>
      <t>3</t>
    </r>
    <r>
      <rPr>
        <b/>
        <sz val="10"/>
        <rFont val="Arial"/>
        <family val="2"/>
      </rPr>
      <t>.  Cette valeur peut être changée si une valeur propre à une installation est disponible.</t>
    </r>
  </si>
  <si>
    <t>Valeur calorifique :</t>
  </si>
  <si>
    <r>
      <t>GJ/m</t>
    </r>
    <r>
      <rPr>
        <vertAlign val="superscript"/>
        <sz val="10"/>
        <rFont val="Arial"/>
        <family val="2"/>
      </rPr>
      <t>3</t>
    </r>
  </si>
  <si>
    <t>Teneur en soufre :</t>
  </si>
  <si>
    <t>%</t>
  </si>
  <si>
    <t>Rejets de la Partie 1</t>
  </si>
  <si>
    <t>Nom de la substance</t>
  </si>
  <si>
    <t>Numéro CAS</t>
  </si>
  <si>
    <t>Facteur d'émission</t>
  </si>
  <si>
    <t>Cotes des FE</t>
  </si>
  <si>
    <t>Taux d'activité de l'onglet Entrez les données</t>
  </si>
  <si>
    <t>Rejets totaux à 3 décimales</t>
  </si>
  <si>
    <t>Acétaldéhyde</t>
  </si>
  <si>
    <t>75-07-0</t>
  </si>
  <si>
    <r>
      <t>kg/m</t>
    </r>
    <r>
      <rPr>
        <vertAlign val="superscript"/>
        <sz val="10"/>
        <rFont val="Arial"/>
        <family val="2"/>
      </rPr>
      <t>3</t>
    </r>
  </si>
  <si>
    <t>E</t>
  </si>
  <si>
    <t>tonnes</t>
  </si>
  <si>
    <t>Anthracène</t>
  </si>
  <si>
    <t>120-12-7</t>
  </si>
  <si>
    <t>Acroléine</t>
  </si>
  <si>
    <t>107-02-8</t>
  </si>
  <si>
    <t>Benzène</t>
  </si>
  <si>
    <t>71-43-2</t>
  </si>
  <si>
    <t>Formaldéhyde</t>
  </si>
  <si>
    <t>50-00-0</t>
  </si>
  <si>
    <t>Naphtalène</t>
  </si>
  <si>
    <t>91-20-3</t>
  </si>
  <si>
    <t>Propylène</t>
  </si>
  <si>
    <t>115-07-1</t>
  </si>
  <si>
    <t>Toluène</t>
  </si>
  <si>
    <t>108-88-3</t>
  </si>
  <si>
    <t>1330-20-7</t>
  </si>
  <si>
    <t>Rejets de la Partie 2</t>
  </si>
  <si>
    <t>Déclaration des HAP</t>
  </si>
  <si>
    <t>Acénaphtène</t>
  </si>
  <si>
    <t>83-32-9</t>
  </si>
  <si>
    <t>kg</t>
  </si>
  <si>
    <t>Acénaphthylène</t>
  </si>
  <si>
    <t>208-96-8</t>
  </si>
  <si>
    <t>56-55-3</t>
  </si>
  <si>
    <t>205-99-2</t>
  </si>
  <si>
    <t>207-08-9</t>
  </si>
  <si>
    <t>50-32-8</t>
  </si>
  <si>
    <t>218-01-9</t>
  </si>
  <si>
    <t>191-24-2</t>
  </si>
  <si>
    <t>53-70-3</t>
  </si>
  <si>
    <t>Fluoranthène</t>
  </si>
  <si>
    <t>206-44-0</t>
  </si>
  <si>
    <t>Fluorène</t>
  </si>
  <si>
    <t>86-73-7</t>
  </si>
  <si>
    <t>193-39-5</t>
  </si>
  <si>
    <t>Phénanthrène</t>
  </si>
  <si>
    <t>85-01-8</t>
  </si>
  <si>
    <t>Pyrène</t>
  </si>
  <si>
    <t>129-00-0</t>
  </si>
  <si>
    <t>Rejets de la Partie 3</t>
  </si>
  <si>
    <t>Aucun facteur d'émission n'est disponible pour les substances de la Partie 3.</t>
  </si>
  <si>
    <t>* Plus d'un numéro CAS s'applique à cette substance</t>
  </si>
  <si>
    <t>Rejets des principaux contaminants atmosphériques (PCA) de la Partie 4</t>
  </si>
  <si>
    <t>Monoxyde de carbone (CO)</t>
  </si>
  <si>
    <t>630-08-0</t>
  </si>
  <si>
    <t>C</t>
  </si>
  <si>
    <r>
      <t>Dioxyde de soufre (SO</t>
    </r>
    <r>
      <rPr>
        <vertAlign val="subscript"/>
        <sz val="10"/>
        <rFont val="Arial"/>
        <family val="2"/>
      </rPr>
      <t>2</t>
    </r>
    <r>
      <rPr>
        <sz val="10"/>
        <rFont val="Arial"/>
        <family val="2"/>
      </rPr>
      <t>)</t>
    </r>
  </si>
  <si>
    <t>7446-09-5</t>
  </si>
  <si>
    <t>B</t>
  </si>
  <si>
    <r>
      <t>Oxydes d'azote, exprimés sous forme de NO</t>
    </r>
    <r>
      <rPr>
        <vertAlign val="subscript"/>
        <sz val="10"/>
        <color indexed="8"/>
        <rFont val="Arial"/>
        <family val="2"/>
      </rPr>
      <t>2</t>
    </r>
    <r>
      <rPr>
        <sz val="10"/>
        <color indexed="8"/>
        <rFont val="Arial"/>
        <family val="2"/>
      </rPr>
      <t xml:space="preserve"> (NO</t>
    </r>
    <r>
      <rPr>
        <vertAlign val="subscript"/>
        <sz val="10"/>
        <color indexed="8"/>
        <rFont val="Arial"/>
        <family val="2"/>
      </rPr>
      <t>x</t>
    </r>
    <r>
      <rPr>
        <sz val="10"/>
        <color indexed="8"/>
        <rFont val="Arial"/>
        <family val="2"/>
      </rPr>
      <t>)</t>
    </r>
  </si>
  <si>
    <t>11104-93-1</t>
  </si>
  <si>
    <t>*</t>
  </si>
  <si>
    <t>Matières particulaires totales en suspension (TPM)</t>
  </si>
  <si>
    <r>
      <t>Matières particulaires de 10 µm ou moins (PM</t>
    </r>
    <r>
      <rPr>
        <vertAlign val="subscript"/>
        <sz val="10"/>
        <rFont val="Arial"/>
        <family val="2"/>
      </rPr>
      <t>10</t>
    </r>
    <r>
      <rPr>
        <sz val="10"/>
        <rFont val="Arial"/>
        <family val="2"/>
      </rPr>
      <t>)</t>
    </r>
  </si>
  <si>
    <r>
      <t>Matières particulaires d'un diamètre inférieur ou égal à 2.5 µm (PM</t>
    </r>
    <r>
      <rPr>
        <vertAlign val="subscript"/>
        <sz val="10"/>
        <rFont val="Arial"/>
        <family val="2"/>
      </rPr>
      <t>2.5</t>
    </r>
    <r>
      <rPr>
        <sz val="10"/>
        <rFont val="Arial"/>
        <family val="2"/>
      </rPr>
      <t>)</t>
    </r>
  </si>
  <si>
    <t>Rejets des composés organiques volatils de la Partie 5</t>
  </si>
  <si>
    <t>Moteur diesel fixe de grande taille (&gt;600 hp)</t>
  </si>
  <si>
    <t>Ce tableur a été conçu pour aider à l'estimation des rejets de substances de l'INRP provenant de la combustion de diesel dans un moteur diesel fixe de grande taille (&gt;600 horse power [hp]) . Lorsque les facteurs d'émission sont disponibles, on tient compte de toutes les substances de l'INRP pour cette activité.</t>
  </si>
  <si>
    <t>Niveau 2 - Industriel</t>
  </si>
  <si>
    <t>Niveau 3 - Moteur à grand alésage</t>
  </si>
  <si>
    <t>Niveau 4 - Mazout (Diesel)</t>
  </si>
  <si>
    <t>Document History/Histoire du document</t>
  </si>
  <si>
    <t>Date/date</t>
  </si>
  <si>
    <t>Item/item</t>
  </si>
  <si>
    <t>By/Par</t>
  </si>
  <si>
    <t>Calculator workbook created / document créé</t>
  </si>
  <si>
    <t>C.S.</t>
  </si>
  <si>
    <r>
      <t xml:space="preserve">Reviewed EFs against AP-42 Chapter 3.4. Adjusted default value for Sulphur content of Diesel fuel to reflect </t>
    </r>
    <r>
      <rPr>
        <i/>
        <sz val="10"/>
        <rFont val="Arial"/>
        <family val="2"/>
      </rPr>
      <t xml:space="preserve">Sulphur in Diesel Fuel Regulations. </t>
    </r>
    <r>
      <rPr>
        <sz val="10"/>
        <rFont val="Arial"/>
        <family val="2"/>
      </rPr>
      <t xml:space="preserve"> / Revision de les F-E contre AP- 42 Chapitre 3.4. Révisé la valeur implicite pour le contenu de soufre dans le carburant diesel afin de refléter le </t>
    </r>
    <r>
      <rPr>
        <i/>
        <sz val="10"/>
        <rFont val="Arial"/>
        <family val="2"/>
      </rPr>
      <t xml:space="preserve">Règlement sur le soufre dans le carburant diesel. </t>
    </r>
  </si>
  <si>
    <t>J.G.</t>
  </si>
  <si>
    <t>kg/m3</t>
  </si>
  <si>
    <t>Le même s'applique au teneur en soufre, pour lequel la valeur par défaut de 0,1% (1000 ppm) Il en est de même pour la teneur en soufre du diesel, pour lesquelles une valeur par défaut de 0,1% (1000 ppm) peuvent être utilisés. Ceci correspond avec les limites maximales pour les gros moteurs stationnaires sous le soufre dans le carburant diesel. Si vous utilisez du carburant diesel acheté pour les véhicules routiers, d'une valeur de 0,0015 % (15 ppm) par défaut serait approprié. Ref: https://www.canada.ca/fr/environnement-changement-climatique/services/gestion-pollution/production-energie/reglement-carburants/limites-maximales-teneur-soufre.html</t>
  </si>
  <si>
    <t xml:space="preserve">En sélectionnant l'onglet "Entrez les données" de ce classeur, vous pouvez entrer toutes les données pertinentes requises pour calculer les estimations de rejets dans les quatre onglets suivants. Les cellules surlignées en jaune sont des valeurs requises. Lorsque vous aurez entré les valeurs requises, vous pourrez visualiser les estimations de rejets calculées; elles apparaîtront en caractères gras rouge lorsque vous choisirez un des quatre onglets suivants: "Rejets de  la Partie 1", "Rejets des Parties 2 et 3", "Rejets de la Partie 4" et "Rejets de la Partie 5".  Les rejets de la Partie 1 comprennent les substances principales de l'INRP avec un seuil individuel de 10 tonnes de substance fabriquée, traitée ou utilisée autrement, au même titre que les autres substances et groupes de substances ayant des seuil qui varient de 5 à 1000 kg, selon la substance. Les rejets des Parties 2 et 3 comprennent respectivement les HAP et les dioxines et furanes. Les substances de la Partie 2 ont un seuil de déclaration pour les substances créées fortuitement et les substances de la Partie 3 ont un seuil de déclaration fondé sur le type d'activité. Les rejets de la Partie 4 comprennent les sept principaux contaminants atmosphériques dont les seuils de déclaration sont fondés sur les rejets.  Les rejets de la Partie 5 comprennent les composés organiques volatils (COV), avec des critères de déclaration additionnels.  </t>
  </si>
  <si>
    <t>Les cotes des facteurs d'émission sont présentées pour chaque facteur d'émission dans la colonne suivant celle des unités des facteurs d'émission. Pour la description des cotes des facteurs d'émission, consultez la page des FAQ ''Foire Aux Questions'' de l'AP-42: https://www.epa.gov/air-emissions-factors-and-quantification/ap-42-frequent-questions#ratings (disponible en anglais seulement)</t>
  </si>
  <si>
    <t>Xylène (tous les isomères)</t>
  </si>
  <si>
    <t>Benz[a]anthracène</t>
  </si>
  <si>
    <t>Benzo[a]pyrène</t>
  </si>
  <si>
    <t>Benzo[b]fluoranthène</t>
  </si>
  <si>
    <t>Benzo[k]fluoranthène</t>
  </si>
  <si>
    <t>Chrysène</t>
  </si>
  <si>
    <t>Benzo[ghi]pérylène</t>
  </si>
  <si>
    <t>Dibenz[a,h]anthracène</t>
  </si>
  <si>
    <t>Indeno[1,2,3-cd]pyrène</t>
  </si>
  <si>
    <t>Unités de FE**</t>
  </si>
  <si>
    <t>Composés organiques volatils (total)  (COV)</t>
  </si>
  <si>
    <t>** FE = Facteur d'émission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</si>
</sst>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E+00"/>
  </numFmts>
  <fonts count="36" x14ac:knownFonts="1">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14"/>
      <name val="Arial"/>
      <family val="2"/>
    </font>
    <font>
      <sz val="10"/>
      <color indexed="17"/>
      <name val="Arial"/>
      <family val="2"/>
    </font>
    <font>
      <b/>
      <u/>
      <sz val="14"/>
      <name val="Arial"/>
      <family val="2"/>
    </font>
    <font>
      <b/>
      <u/>
      <sz val="10"/>
      <name val="Arial"/>
      <family val="2"/>
    </font>
    <font>
      <b/>
      <sz val="10"/>
      <name val="Arial"/>
      <family val="2"/>
    </font>
    <font>
      <b/>
      <vertAlign val="superscript"/>
      <sz val="10"/>
      <name val="Arial"/>
      <family val="2"/>
    </font>
    <font>
      <b/>
      <i/>
      <sz val="10"/>
      <name val="Arial"/>
      <family val="2"/>
    </font>
    <font>
      <vertAlign val="superscript"/>
      <sz val="10"/>
      <name val="Arial"/>
      <family val="2"/>
    </font>
    <font>
      <sz val="8"/>
      <name val="Arial"/>
      <family val="2"/>
    </font>
    <font>
      <i/>
      <sz val="10"/>
      <name val="Arial"/>
      <family val="2"/>
    </font>
    <font>
      <sz val="10"/>
      <color indexed="40"/>
      <name val="Arial"/>
      <family val="2"/>
    </font>
    <font>
      <b/>
      <sz val="10"/>
      <color indexed="10"/>
      <name val="Arial"/>
      <family val="2"/>
    </font>
    <font>
      <sz val="9"/>
      <name val="Arial"/>
      <family val="2"/>
    </font>
    <font>
      <sz val="10"/>
      <color indexed="12"/>
      <name val="Arial"/>
      <family val="2"/>
    </font>
    <font>
      <vertAlign val="subscript"/>
      <sz val="10"/>
      <name val="Arial"/>
      <family val="2"/>
    </font>
    <font>
      <sz val="10"/>
      <color indexed="8"/>
      <name val="Arial"/>
      <family val="2"/>
    </font>
    <font>
      <vertAlign val="subscript"/>
      <sz val="10"/>
      <color indexed="8"/>
      <name val="Arial"/>
      <family val="2"/>
    </font>
    <font>
      <sz val="10"/>
      <name val="Arial"/>
      <family val="2"/>
    </font>
  </fonts>
  <fills count="19">
    <fill>
      <patternFill patternType="none"/>
    </fill>
    <fill>
      <patternFill patternType="gray125"/>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9"/>
        <bgColor indexed="26"/>
      </patternFill>
    </fill>
    <fill>
      <patternFill patternType="solid">
        <fgColor indexed="45"/>
        <bgColor indexed="29"/>
      </patternFill>
    </fill>
    <fill>
      <patternFill patternType="solid">
        <fgColor indexed="42"/>
        <bgColor indexed="27"/>
      </patternFill>
    </fill>
    <fill>
      <patternFill patternType="solid">
        <fgColor indexed="55"/>
        <bgColor indexed="23"/>
      </patternFill>
    </fill>
    <fill>
      <patternFill patternType="solid">
        <fgColor indexed="13"/>
        <bgColor indexed="34"/>
      </patternFill>
    </fill>
  </fills>
  <borders count="1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3" fillId="0" borderId="0" applyNumberFormat="0" applyFill="0" applyBorder="0" applyAlignment="0" applyProtection="0"/>
    <xf numFmtId="0" fontId="4" fillId="14" borderId="1" applyNumberFormat="0" applyAlignment="0" applyProtection="0"/>
    <xf numFmtId="0" fontId="5" fillId="0" borderId="2" applyNumberFormat="0" applyFill="0" applyAlignment="0" applyProtection="0"/>
    <xf numFmtId="0" fontId="35" fillId="4" borderId="4" applyNumberFormat="0" applyAlignment="0" applyProtection="0"/>
    <xf numFmtId="0" fontId="6" fillId="7" borderId="1" applyNumberFormat="0" applyAlignment="0" applyProtection="0"/>
    <xf numFmtId="0" fontId="7" fillId="15" borderId="0" applyNumberFormat="0" applyBorder="0" applyAlignment="0" applyProtection="0"/>
    <xf numFmtId="0" fontId="8" fillId="7" borderId="0" applyNumberFormat="0" applyBorder="0" applyAlignment="0" applyProtection="0"/>
    <xf numFmtId="0" fontId="35" fillId="0" borderId="0"/>
    <xf numFmtId="0" fontId="35" fillId="0" borderId="0"/>
    <xf numFmtId="0" fontId="9" fillId="16" borderId="0" applyNumberFormat="0" applyBorder="0" applyAlignment="0" applyProtection="0"/>
    <xf numFmtId="0" fontId="10" fillId="14" borderId="8"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17" borderId="3" applyNumberFormat="0" applyAlignment="0" applyProtection="0"/>
  </cellStyleXfs>
  <cellXfs count="118">
    <xf numFmtId="0" fontId="0" fillId="0" borderId="0" xfId="0"/>
    <xf numFmtId="0" fontId="0" fillId="0" borderId="0" xfId="0" applyAlignment="1">
      <alignment horizontal="left"/>
    </xf>
    <xf numFmtId="0" fontId="18" fillId="0" borderId="0" xfId="0" applyFont="1" applyAlignment="1">
      <alignment horizontal="left"/>
    </xf>
    <xf numFmtId="0" fontId="19" fillId="0" borderId="0" xfId="0" applyFont="1" applyAlignment="1"/>
    <xf numFmtId="49" fontId="0" fillId="0" borderId="0" xfId="0" applyNumberFormat="1" applyAlignment="1">
      <alignment horizontal="left" wrapText="1"/>
    </xf>
    <xf numFmtId="49" fontId="20" fillId="0" borderId="0" xfId="0" applyNumberFormat="1" applyFont="1" applyBorder="1" applyAlignment="1">
      <alignment horizontal="center" wrapText="1"/>
    </xf>
    <xf numFmtId="0" fontId="21" fillId="0" borderId="0" xfId="0" applyFont="1" applyAlignment="1">
      <alignment wrapText="1"/>
    </xf>
    <xf numFmtId="0" fontId="0" fillId="0" borderId="0" xfId="0" applyNumberFormat="1" applyAlignment="1">
      <alignment wrapText="1"/>
    </xf>
    <xf numFmtId="0" fontId="0" fillId="0" borderId="0" xfId="0" applyAlignment="1">
      <alignment wrapText="1"/>
    </xf>
    <xf numFmtId="0" fontId="0" fillId="0" borderId="0" xfId="0" applyNumberFormat="1" applyFont="1" applyAlignment="1">
      <alignment wrapText="1"/>
    </xf>
    <xf numFmtId="0" fontId="0" fillId="0" borderId="0" xfId="0" applyNumberFormat="1" applyFont="1" applyAlignment="1">
      <alignment horizontal="left"/>
    </xf>
    <xf numFmtId="1" fontId="0" fillId="0" borderId="0" xfId="0" applyNumberFormat="1" applyFont="1"/>
    <xf numFmtId="0" fontId="0" fillId="0" borderId="0" xfId="0" applyFont="1" applyFill="1"/>
    <xf numFmtId="0" fontId="0" fillId="0" borderId="0" xfId="0" applyFont="1" applyFill="1" applyAlignment="1">
      <alignment horizontal="left"/>
    </xf>
    <xf numFmtId="0" fontId="22" fillId="0" borderId="0" xfId="0" applyFont="1" applyAlignment="1">
      <alignment horizontal="center"/>
    </xf>
    <xf numFmtId="0" fontId="0" fillId="0" borderId="0" xfId="0" applyProtection="1"/>
    <xf numFmtId="0" fontId="21" fillId="0" borderId="0" xfId="0" applyFont="1" applyAlignment="1" applyProtection="1">
      <alignment horizontal="center"/>
    </xf>
    <xf numFmtId="0" fontId="22" fillId="0" borderId="0" xfId="0" applyFont="1" applyBorder="1" applyAlignment="1" applyProtection="1">
      <alignment horizontal="left"/>
    </xf>
    <xf numFmtId="0" fontId="22" fillId="0" borderId="0" xfId="0" applyFont="1" applyFill="1" applyAlignment="1" applyProtection="1">
      <alignment horizontal="right"/>
    </xf>
    <xf numFmtId="0" fontId="0" fillId="0" borderId="0" xfId="0" applyFont="1" applyAlignment="1" applyProtection="1">
      <alignment horizontal="right"/>
    </xf>
    <xf numFmtId="0" fontId="22" fillId="0" borderId="0" xfId="0" applyFont="1" applyAlignment="1" applyProtection="1">
      <alignment horizontal="left"/>
    </xf>
    <xf numFmtId="0" fontId="19" fillId="6" borderId="10" xfId="0" applyFont="1" applyFill="1" applyBorder="1" applyProtection="1"/>
    <xf numFmtId="0" fontId="24" fillId="6" borderId="10" xfId="0" applyFont="1" applyFill="1" applyBorder="1" applyAlignment="1" applyProtection="1">
      <alignment horizontal="center"/>
    </xf>
    <xf numFmtId="0" fontId="22" fillId="6" borderId="10" xfId="0" applyFont="1" applyFill="1" applyBorder="1" applyAlignment="1" applyProtection="1">
      <alignment horizontal="center"/>
    </xf>
    <xf numFmtId="0" fontId="22" fillId="0" borderId="10" xfId="0" applyFont="1" applyBorder="1" applyAlignment="1" applyProtection="1">
      <alignment horizontal="left"/>
    </xf>
    <xf numFmtId="0" fontId="0" fillId="18" borderId="10" xfId="0" applyFont="1" applyFill="1" applyBorder="1" applyAlignment="1" applyProtection="1">
      <alignment horizontal="center"/>
      <protection locked="0"/>
    </xf>
    <xf numFmtId="0" fontId="0" fillId="0" borderId="10" xfId="0" applyFont="1" applyBorder="1" applyAlignment="1" applyProtection="1">
      <alignment horizontal="center"/>
    </xf>
    <xf numFmtId="0" fontId="0" fillId="0" borderId="10" xfId="0" applyFill="1" applyBorder="1" applyAlignment="1" applyProtection="1">
      <alignment horizontal="center"/>
    </xf>
    <xf numFmtId="0" fontId="0" fillId="0" borderId="0" xfId="0" applyFont="1" applyAlignment="1" applyProtection="1">
      <alignment horizontal="left"/>
    </xf>
    <xf numFmtId="0" fontId="0" fillId="0" borderId="0" xfId="0" applyFill="1" applyAlignment="1" applyProtection="1">
      <alignment horizontal="center"/>
    </xf>
    <xf numFmtId="0" fontId="26" fillId="0" borderId="0" xfId="0" applyFont="1" applyAlignment="1" applyProtection="1">
      <alignment horizontal="left"/>
    </xf>
    <xf numFmtId="0" fontId="22" fillId="0" borderId="0" xfId="0" applyFont="1" applyProtection="1"/>
    <xf numFmtId="0" fontId="22" fillId="0" borderId="10" xfId="0" applyFont="1" applyFill="1" applyBorder="1" applyAlignment="1" applyProtection="1">
      <alignment horizontal="left"/>
    </xf>
    <xf numFmtId="164" fontId="0" fillId="18" borderId="10" xfId="0" applyNumberFormat="1" applyFill="1" applyBorder="1" applyAlignment="1" applyProtection="1">
      <alignment horizontal="center"/>
      <protection locked="0"/>
    </xf>
    <xf numFmtId="0" fontId="28" fillId="0" borderId="0" xfId="0" applyFont="1" applyProtection="1"/>
    <xf numFmtId="0" fontId="22" fillId="0" borderId="10" xfId="0" applyFont="1" applyBorder="1" applyProtection="1"/>
    <xf numFmtId="0" fontId="0" fillId="18" borderId="10" xfId="0" applyFill="1" applyBorder="1" applyAlignment="1" applyProtection="1">
      <alignment horizontal="center"/>
      <protection locked="0"/>
    </xf>
    <xf numFmtId="0" fontId="0" fillId="0" borderId="0" xfId="0" applyBorder="1"/>
    <xf numFmtId="0" fontId="0" fillId="0" borderId="0" xfId="0" applyAlignment="1">
      <alignment horizontal="center"/>
    </xf>
    <xf numFmtId="0" fontId="0" fillId="0" borderId="10" xfId="33" applyFont="1" applyFill="1" applyBorder="1" applyProtection="1"/>
    <xf numFmtId="165" fontId="0" fillId="0" borderId="0" xfId="0" applyNumberFormat="1" applyAlignment="1">
      <alignment horizontal="center"/>
    </xf>
    <xf numFmtId="0" fontId="0" fillId="0" borderId="0" xfId="0" applyFill="1"/>
    <xf numFmtId="1" fontId="0" fillId="0" borderId="0" xfId="0" applyNumberFormat="1" applyBorder="1" applyAlignment="1">
      <alignment horizontal="center"/>
    </xf>
    <xf numFmtId="164" fontId="29" fillId="0" borderId="0" xfId="0" applyNumberFormat="1" applyFont="1" applyAlignment="1">
      <alignment horizontal="center"/>
    </xf>
    <xf numFmtId="0" fontId="0" fillId="0" borderId="0" xfId="0" applyFont="1"/>
    <xf numFmtId="0" fontId="0" fillId="0" borderId="0" xfId="0" applyFont="1" applyProtection="1"/>
    <xf numFmtId="0" fontId="0" fillId="0" borderId="0" xfId="0" applyNumberFormat="1" applyBorder="1" applyAlignment="1">
      <alignment horizontal="center"/>
    </xf>
    <xf numFmtId="2" fontId="0" fillId="0" borderId="0" xfId="0" applyNumberFormat="1" applyBorder="1" applyAlignment="1">
      <alignment horizontal="center"/>
    </xf>
    <xf numFmtId="1" fontId="0" fillId="0" borderId="0" xfId="0" applyNumberFormat="1" applyBorder="1"/>
    <xf numFmtId="0" fontId="0" fillId="0" borderId="0" xfId="0" applyFont="1" applyBorder="1"/>
    <xf numFmtId="1" fontId="30" fillId="0" borderId="0" xfId="0" applyNumberFormat="1" applyFont="1" applyBorder="1"/>
    <xf numFmtId="0" fontId="0" fillId="0" borderId="0" xfId="0" applyAlignment="1" applyProtection="1">
      <alignment horizontal="right"/>
    </xf>
    <xf numFmtId="0" fontId="21" fillId="0" borderId="0" xfId="0" applyFont="1" applyProtection="1"/>
    <xf numFmtId="0" fontId="19" fillId="0" borderId="0" xfId="0" applyFont="1" applyBorder="1" applyAlignment="1" applyProtection="1">
      <alignment horizontal="center"/>
    </xf>
    <xf numFmtId="0" fontId="22" fillId="6" borderId="10" xfId="0" applyFont="1" applyFill="1" applyBorder="1" applyProtection="1"/>
    <xf numFmtId="0" fontId="22" fillId="6" borderId="10" xfId="0" applyFont="1" applyFill="1" applyBorder="1" applyAlignment="1" applyProtection="1">
      <alignment horizontal="center" wrapText="1"/>
    </xf>
    <xf numFmtId="0" fontId="22" fillId="6" borderId="10" xfId="0" applyFont="1" applyFill="1" applyBorder="1" applyAlignment="1" applyProtection="1">
      <alignment wrapText="1"/>
    </xf>
    <xf numFmtId="0" fontId="0" fillId="0" borderId="10" xfId="0" applyFont="1" applyBorder="1" applyProtection="1"/>
    <xf numFmtId="164" fontId="29" fillId="0" borderId="10" xfId="0" applyNumberFormat="1" applyFont="1" applyBorder="1" applyAlignment="1" applyProtection="1">
      <alignment horizontal="center"/>
    </xf>
    <xf numFmtId="0" fontId="0" fillId="0" borderId="10" xfId="0" applyFont="1" applyFill="1" applyBorder="1" applyAlignment="1" applyProtection="1">
      <alignment horizontal="center"/>
    </xf>
    <xf numFmtId="0" fontId="31" fillId="0" borderId="0" xfId="0" applyFont="1" applyProtection="1"/>
    <xf numFmtId="164" fontId="29" fillId="0" borderId="10" xfId="0" applyNumberFormat="1" applyFont="1" applyFill="1" applyBorder="1" applyAlignment="1" applyProtection="1">
      <alignment horizontal="center"/>
    </xf>
    <xf numFmtId="0" fontId="0" fillId="0" borderId="10" xfId="0" applyNumberFormat="1" applyFont="1" applyFill="1" applyBorder="1" applyAlignment="1" applyProtection="1">
      <alignment horizontal="center"/>
    </xf>
    <xf numFmtId="0" fontId="0" fillId="0" borderId="10" xfId="0" applyFont="1" applyFill="1" applyBorder="1" applyProtection="1"/>
    <xf numFmtId="0" fontId="0" fillId="0" borderId="10" xfId="0" applyNumberFormat="1" applyFont="1" applyBorder="1" applyAlignment="1" applyProtection="1">
      <alignment horizontal="center"/>
    </xf>
    <xf numFmtId="0" fontId="0" fillId="0" borderId="12" xfId="0" applyFont="1" applyFill="1" applyBorder="1" applyProtection="1"/>
    <xf numFmtId="0" fontId="0" fillId="0" borderId="12" xfId="0" applyNumberFormat="1" applyFont="1" applyBorder="1" applyAlignment="1" applyProtection="1">
      <alignment horizontal="center"/>
    </xf>
    <xf numFmtId="0" fontId="0" fillId="0" borderId="12" xfId="0" applyFont="1" applyBorder="1" applyAlignment="1" applyProtection="1">
      <alignment horizontal="center"/>
    </xf>
    <xf numFmtId="164" fontId="29" fillId="0" borderId="12" xfId="0" applyNumberFormat="1" applyFont="1" applyBorder="1" applyAlignment="1" applyProtection="1">
      <alignment horizontal="center"/>
    </xf>
    <xf numFmtId="0" fontId="29" fillId="0" borderId="0" xfId="0" applyFont="1" applyFill="1" applyBorder="1" applyAlignment="1" applyProtection="1">
      <alignment horizontal="left"/>
    </xf>
    <xf numFmtId="0" fontId="29" fillId="0" borderId="0" xfId="0" applyNumberFormat="1" applyFont="1" applyBorder="1" applyAlignment="1" applyProtection="1">
      <alignment horizontal="center"/>
    </xf>
    <xf numFmtId="0" fontId="29" fillId="0" borderId="0" xfId="0" applyFont="1" applyAlignment="1" applyProtection="1">
      <alignment horizontal="center"/>
    </xf>
    <xf numFmtId="164" fontId="29" fillId="0" borderId="0" xfId="0" applyNumberFormat="1" applyFont="1" applyAlignment="1" applyProtection="1">
      <alignment horizontal="center"/>
    </xf>
    <xf numFmtId="1" fontId="0" fillId="0" borderId="0" xfId="0" applyNumberFormat="1" applyBorder="1" applyProtection="1"/>
    <xf numFmtId="1" fontId="0" fillId="0" borderId="0" xfId="0" applyNumberFormat="1" applyBorder="1" applyAlignment="1" applyProtection="1">
      <alignment horizontal="center"/>
    </xf>
    <xf numFmtId="164" fontId="0" fillId="0" borderId="0" xfId="0" applyNumberFormat="1" applyProtection="1"/>
    <xf numFmtId="0" fontId="22" fillId="0" borderId="0" xfId="0" applyFont="1" applyBorder="1" applyProtection="1"/>
    <xf numFmtId="0" fontId="22" fillId="0" borderId="0" xfId="0" applyFont="1" applyBorder="1" applyAlignment="1" applyProtection="1">
      <alignment horizontal="center"/>
    </xf>
    <xf numFmtId="0" fontId="22" fillId="0" borderId="0" xfId="0" applyFont="1" applyFill="1" applyBorder="1" applyAlignment="1" applyProtection="1">
      <alignment horizontal="center"/>
    </xf>
    <xf numFmtId="0" fontId="0" fillId="0" borderId="0" xfId="0" applyNumberFormat="1" applyBorder="1" applyAlignment="1" applyProtection="1">
      <alignment horizontal="center"/>
    </xf>
    <xf numFmtId="2" fontId="0" fillId="0" borderId="0" xfId="0" applyNumberFormat="1" applyBorder="1" applyAlignment="1" applyProtection="1">
      <alignment horizontal="center"/>
    </xf>
    <xf numFmtId="0" fontId="22" fillId="0" borderId="0" xfId="0" applyFont="1"/>
    <xf numFmtId="0" fontId="33" fillId="0" borderId="10" xfId="0" applyFont="1" applyFill="1" applyBorder="1" applyProtection="1"/>
    <xf numFmtId="164" fontId="0" fillId="0" borderId="0" xfId="0" applyNumberFormat="1"/>
    <xf numFmtId="0" fontId="0" fillId="0" borderId="0" xfId="0" applyFont="1" applyFill="1" applyBorder="1" applyProtection="1"/>
    <xf numFmtId="165" fontId="0" fillId="0" borderId="0" xfId="0" applyNumberFormat="1" applyAlignment="1" applyProtection="1">
      <alignment horizontal="center"/>
    </xf>
    <xf numFmtId="0" fontId="0" fillId="0" borderId="0" xfId="0" applyAlignment="1" applyProtection="1">
      <alignment horizontal="center"/>
    </xf>
    <xf numFmtId="49" fontId="20" fillId="0" borderId="0" xfId="0" applyNumberFormat="1" applyFont="1" applyFill="1" applyBorder="1" applyAlignment="1">
      <alignment horizontal="center" wrapText="1"/>
    </xf>
    <xf numFmtId="0" fontId="0" fillId="0" borderId="0" xfId="0" applyNumberFormat="1" applyFont="1" applyFill="1" applyAlignment="1">
      <alignment wrapText="1"/>
    </xf>
    <xf numFmtId="1" fontId="0" fillId="0" borderId="0" xfId="0" applyNumberFormat="1" applyFont="1" applyFill="1"/>
    <xf numFmtId="0" fontId="22" fillId="0" borderId="13" xfId="0" applyFont="1" applyBorder="1"/>
    <xf numFmtId="0" fontId="22" fillId="0" borderId="14" xfId="0" applyFont="1" applyBorder="1"/>
    <xf numFmtId="0" fontId="22" fillId="0" borderId="15" xfId="0" applyFont="1" applyBorder="1"/>
    <xf numFmtId="14" fontId="0" fillId="0" borderId="16" xfId="0" applyNumberFormat="1" applyBorder="1"/>
    <xf numFmtId="0" fontId="35" fillId="0" borderId="17" xfId="0" applyFont="1" applyBorder="1"/>
    <xf numFmtId="0" fontId="0" fillId="0" borderId="18" xfId="0" applyBorder="1"/>
    <xf numFmtId="0" fontId="35" fillId="0" borderId="17" xfId="0" applyFont="1" applyBorder="1" applyAlignment="1">
      <alignment wrapText="1"/>
    </xf>
    <xf numFmtId="0" fontId="22" fillId="6" borderId="17" xfId="0" applyFont="1" applyFill="1" applyBorder="1" applyProtection="1"/>
    <xf numFmtId="0" fontId="0" fillId="0" borderId="0" xfId="0" applyBorder="1" applyProtection="1"/>
    <xf numFmtId="0" fontId="22" fillId="6" borderId="10" xfId="0" applyFont="1" applyFill="1" applyBorder="1" applyAlignment="1" applyProtection="1">
      <alignment horizontal="right"/>
    </xf>
    <xf numFmtId="0" fontId="0" fillId="0" borderId="11" xfId="0" applyFont="1" applyBorder="1" applyAlignment="1" applyProtection="1">
      <alignment horizontal="center"/>
    </xf>
    <xf numFmtId="0" fontId="0" fillId="0" borderId="11" xfId="0" applyNumberFormat="1" applyFont="1" applyBorder="1" applyAlignment="1" applyProtection="1">
      <alignment horizontal="center"/>
    </xf>
    <xf numFmtId="1" fontId="0" fillId="0" borderId="10" xfId="0" applyNumberFormat="1" applyFont="1" applyBorder="1" applyProtection="1"/>
    <xf numFmtId="0" fontId="22" fillId="6" borderId="10" xfId="0" applyFont="1" applyFill="1" applyBorder="1" applyAlignment="1" applyProtection="1">
      <alignment horizontal="left" vertical="center" wrapText="1"/>
    </xf>
    <xf numFmtId="0" fontId="22" fillId="6" borderId="10" xfId="0" applyFont="1" applyFill="1" applyBorder="1" applyAlignment="1" applyProtection="1">
      <alignment horizontal="center" vertical="center" wrapText="1"/>
    </xf>
    <xf numFmtId="49" fontId="0" fillId="0" borderId="10" xfId="0" applyNumberFormat="1" applyFont="1" applyBorder="1" applyAlignment="1" applyProtection="1">
      <alignment horizontal="center"/>
    </xf>
    <xf numFmtId="0" fontId="0" fillId="0" borderId="0" xfId="0" applyFill="1" applyProtection="1"/>
    <xf numFmtId="0" fontId="0" fillId="0" borderId="10" xfId="32" applyFont="1" applyBorder="1" applyProtection="1"/>
    <xf numFmtId="165" fontId="0" fillId="0" borderId="10" xfId="0" applyNumberFormat="1" applyFont="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10" xfId="0" applyFont="1" applyFill="1" applyBorder="1" applyAlignment="1" applyProtection="1">
      <alignment horizontal="center"/>
      <protection locked="0"/>
    </xf>
    <xf numFmtId="0" fontId="0" fillId="0" borderId="10" xfId="0" applyNumberFormat="1" applyFont="1" applyFill="1" applyBorder="1" applyAlignment="1" applyProtection="1">
      <alignment horizontal="center"/>
      <protection locked="0"/>
    </xf>
    <xf numFmtId="0" fontId="0" fillId="0" borderId="10" xfId="0" applyNumberFormat="1" applyFont="1" applyBorder="1" applyAlignment="1" applyProtection="1">
      <alignment horizontal="center"/>
      <protection locked="0"/>
    </xf>
    <xf numFmtId="0" fontId="0" fillId="0" borderId="12" xfId="0" applyNumberFormat="1" applyFont="1" applyBorder="1" applyAlignment="1" applyProtection="1">
      <alignment horizontal="center"/>
      <protection locked="0"/>
    </xf>
    <xf numFmtId="164" fontId="0" fillId="0" borderId="10" xfId="0" applyNumberFormat="1" applyBorder="1" applyAlignment="1" applyProtection="1">
      <alignment horizontal="center"/>
      <protection locked="0"/>
    </xf>
    <xf numFmtId="164" fontId="0" fillId="0" borderId="10" xfId="0" applyNumberFormat="1" applyFont="1" applyFill="1" applyBorder="1" applyAlignment="1" applyProtection="1">
      <alignment horizontal="center"/>
      <protection locked="0"/>
    </xf>
    <xf numFmtId="165" fontId="0" fillId="0" borderId="10" xfId="0" applyNumberFormat="1" applyBorder="1" applyAlignment="1" applyProtection="1">
      <alignment horizontal="center"/>
      <protection locked="0"/>
    </xf>
    <xf numFmtId="0" fontId="27" fillId="0" borderId="0" xfId="0" applyFont="1" applyFill="1" applyAlignment="1" applyProtection="1">
      <alignment horizontal="left" wrapText="1"/>
    </xf>
  </cellXfs>
  <cellStyles count="44">
    <cellStyle name="20 % - Accent1" xfId="1"/>
    <cellStyle name="20 % - Accent2" xfId="2"/>
    <cellStyle name="20 % - Accent3" xfId="3"/>
    <cellStyle name="20 % - Accent4" xfId="4"/>
    <cellStyle name="20 % - Accent5" xfId="5"/>
    <cellStyle name="20 % - Accent6" xfId="6"/>
    <cellStyle name="40 % - Accent1" xfId="7"/>
    <cellStyle name="40 % - Accent2" xfId="8"/>
    <cellStyle name="40 % - Accent3" xfId="9"/>
    <cellStyle name="40 % - Accent4" xfId="10"/>
    <cellStyle name="40 % - Accent5" xfId="11"/>
    <cellStyle name="40 % - Accent6" xfId="12"/>
    <cellStyle name="60 % - Accent1" xfId="13"/>
    <cellStyle name="60 % - Accent2" xfId="14"/>
    <cellStyle name="60 % - Accent3" xfId="15"/>
    <cellStyle name="60 % - Accent4" xfId="16"/>
    <cellStyle name="60 % - Accent5" xfId="17"/>
    <cellStyle name="60 %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cellStyle name="Calcul" xfId="26"/>
    <cellStyle name="Cellule liée" xfId="27"/>
    <cellStyle name="Commentaire" xfId="28"/>
    <cellStyle name="Entrée" xfId="29"/>
    <cellStyle name="Insatisfaisant" xfId="30"/>
    <cellStyle name="Neutre" xfId="31"/>
    <cellStyle name="Normal" xfId="0" builtinId="0"/>
    <cellStyle name="Normal 2" xfId="32"/>
    <cellStyle name="Normal 6" xfId="33"/>
    <cellStyle name="Satisfaisant" xfId="34"/>
    <cellStyle name="Sortie" xfId="35"/>
    <cellStyle name="Texte explicatif" xfId="36"/>
    <cellStyle name="Titre" xfId="37"/>
    <cellStyle name="Titre 1" xfId="38"/>
    <cellStyle name="Titre 2" xfId="39"/>
    <cellStyle name="Titre 3" xfId="40"/>
    <cellStyle name="Titre 4" xfId="41"/>
    <cellStyle name="Total" xfId="42" builtinId="25" customBuiltin="1"/>
    <cellStyle name="Vérification" xfId="43"/>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2476500</xdr:colOff>
      <xdr:row>2</xdr:row>
      <xdr:rowOff>7620</xdr:rowOff>
    </xdr:to>
    <xdr:pic>
      <xdr:nvPicPr>
        <xdr:cNvPr id="103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76500" cy="4495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5707380</xdr:colOff>
      <xdr:row>0</xdr:row>
      <xdr:rowOff>15240</xdr:rowOff>
    </xdr:from>
    <xdr:to>
      <xdr:col>0</xdr:col>
      <xdr:colOff>6873240</xdr:colOff>
      <xdr:row>1</xdr:row>
      <xdr:rowOff>182880</xdr:rowOff>
    </xdr:to>
    <xdr:pic>
      <xdr:nvPicPr>
        <xdr:cNvPr id="103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7380" y="15240"/>
          <a:ext cx="1165860" cy="38862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ables/table1.xml><?xml version="1.0" encoding="utf-8"?>
<table xmlns="http://schemas.openxmlformats.org/spreadsheetml/2006/main" id="1" name="Table13" displayName="Table13" ref="A2:C4" totalsRowShown="0" headerRowDxfId="3" headerRowBorderDxfId="2" tableBorderDxfId="1" totalsRowBorderDxfId="0">
  <autoFilter ref="A2:C4"/>
  <tableColumns count="3">
    <tableColumn id="1" name="Date/date"/>
    <tableColumn id="2" name="Item/item"/>
    <tableColumn id="3" name="By/P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tabSelected="1" workbookViewId="0">
      <selection activeCell="A3" sqref="A3"/>
    </sheetView>
  </sheetViews>
  <sheetFormatPr defaultColWidth="8.7109375" defaultRowHeight="12.75" x14ac:dyDescent="0.2"/>
  <cols>
    <col min="1" max="1" width="100.7109375" customWidth="1"/>
    <col min="3" max="3" width="70.5703125" customWidth="1"/>
  </cols>
  <sheetData>
    <row r="1" spans="1:3" s="1" customFormat="1" ht="18" x14ac:dyDescent="0.25">
      <c r="C1" s="2"/>
    </row>
    <row r="2" spans="1:3" s="1" customFormat="1" ht="18" x14ac:dyDescent="0.25">
      <c r="A2" s="2"/>
      <c r="B2" s="3"/>
      <c r="C2" s="3"/>
    </row>
    <row r="3" spans="1:3" ht="18" x14ac:dyDescent="0.25">
      <c r="A3" s="87" t="s">
        <v>95</v>
      </c>
      <c r="B3" s="4"/>
      <c r="C3" s="5"/>
    </row>
    <row r="5" spans="1:3" x14ac:dyDescent="0.2">
      <c r="A5" s="6" t="s">
        <v>0</v>
      </c>
    </row>
    <row r="6" spans="1:3" ht="7.5" customHeight="1" x14ac:dyDescent="0.2">
      <c r="A6" s="6"/>
      <c r="C6" s="6"/>
    </row>
    <row r="7" spans="1:3" ht="38.25" x14ac:dyDescent="0.2">
      <c r="A7" s="88" t="s">
        <v>96</v>
      </c>
      <c r="C7" s="7"/>
    </row>
    <row r="8" spans="1:3" x14ac:dyDescent="0.2">
      <c r="A8" s="8"/>
      <c r="C8" s="8"/>
    </row>
    <row r="9" spans="1:3" x14ac:dyDescent="0.2">
      <c r="A9" s="6" t="s">
        <v>1</v>
      </c>
    </row>
    <row r="10" spans="1:3" ht="7.5" customHeight="1" x14ac:dyDescent="0.2">
      <c r="A10" s="6"/>
      <c r="C10" s="6"/>
    </row>
    <row r="11" spans="1:3" ht="165.75" x14ac:dyDescent="0.2">
      <c r="A11" s="9" t="s">
        <v>110</v>
      </c>
    </row>
    <row r="12" spans="1:3" ht="7.5" customHeight="1" x14ac:dyDescent="0.2">
      <c r="A12" s="8"/>
    </row>
    <row r="13" spans="1:3" ht="38.25" x14ac:dyDescent="0.2">
      <c r="A13" s="8" t="s">
        <v>2</v>
      </c>
    </row>
    <row r="14" spans="1:3" ht="8.25" customHeight="1" x14ac:dyDescent="0.2">
      <c r="A14" s="8"/>
      <c r="C14" s="8"/>
    </row>
    <row r="15" spans="1:3" ht="51" x14ac:dyDescent="0.2">
      <c r="A15" s="8" t="s">
        <v>3</v>
      </c>
    </row>
    <row r="16" spans="1:3" x14ac:dyDescent="0.2">
      <c r="A16" s="8"/>
      <c r="C16" s="8"/>
    </row>
    <row r="17" spans="1:3" ht="25.5" x14ac:dyDescent="0.2">
      <c r="A17" s="6" t="s">
        <v>4</v>
      </c>
    </row>
    <row r="18" spans="1:3" ht="7.5" customHeight="1" x14ac:dyDescent="0.2">
      <c r="A18" s="8"/>
      <c r="C18" s="8"/>
    </row>
    <row r="19" spans="1:3" x14ac:dyDescent="0.2">
      <c r="A19" s="10" t="s">
        <v>5</v>
      </c>
      <c r="C19" s="10"/>
    </row>
    <row r="20" spans="1:3" x14ac:dyDescent="0.2">
      <c r="A20" s="11" t="s">
        <v>6</v>
      </c>
      <c r="C20" s="11"/>
    </row>
    <row r="21" spans="1:3" x14ac:dyDescent="0.2">
      <c r="A21" s="11" t="s">
        <v>97</v>
      </c>
      <c r="B21" s="12"/>
      <c r="C21" s="11"/>
    </row>
    <row r="22" spans="1:3" x14ac:dyDescent="0.2">
      <c r="A22" s="89" t="s">
        <v>98</v>
      </c>
      <c r="B22" s="12"/>
      <c r="C22" s="11"/>
    </row>
    <row r="23" spans="1:3" x14ac:dyDescent="0.2">
      <c r="A23" s="11" t="s">
        <v>99</v>
      </c>
      <c r="B23" s="13"/>
      <c r="C23" s="11"/>
    </row>
    <row r="24" spans="1:3" ht="7.5" customHeight="1" x14ac:dyDescent="0.2">
      <c r="A24" s="8"/>
      <c r="B24" s="13" t="s">
        <v>7</v>
      </c>
      <c r="C24" s="8"/>
    </row>
    <row r="25" spans="1:3" x14ac:dyDescent="0.2">
      <c r="A25" s="6" t="s">
        <v>8</v>
      </c>
      <c r="C25" s="6"/>
    </row>
    <row r="26" spans="1:3" ht="7.5" customHeight="1" x14ac:dyDescent="0.2">
      <c r="A26" s="8"/>
      <c r="C26" s="8"/>
    </row>
    <row r="27" spans="1:3" x14ac:dyDescent="0.2">
      <c r="A27" s="8" t="s">
        <v>9</v>
      </c>
      <c r="C27" s="8"/>
    </row>
    <row r="28" spans="1:3" ht="8.25" customHeight="1" x14ac:dyDescent="0.2">
      <c r="A28" s="8"/>
      <c r="C28" s="8"/>
    </row>
    <row r="29" spans="1:3" x14ac:dyDescent="0.2">
      <c r="A29" s="6" t="s">
        <v>10</v>
      </c>
      <c r="C29" s="6"/>
    </row>
    <row r="30" spans="1:3" ht="8.25" customHeight="1" x14ac:dyDescent="0.2">
      <c r="A30" s="6"/>
      <c r="C30" s="6"/>
    </row>
    <row r="31" spans="1:3" ht="25.5" x14ac:dyDescent="0.2">
      <c r="A31" s="8" t="s">
        <v>11</v>
      </c>
      <c r="C31" s="8"/>
    </row>
    <row r="32" spans="1:3" ht="7.5" customHeight="1" x14ac:dyDescent="0.2">
      <c r="A32" s="8"/>
      <c r="C32" s="8"/>
    </row>
    <row r="33" spans="1:3" ht="38.25" x14ac:dyDescent="0.2">
      <c r="A33" s="8" t="s">
        <v>12</v>
      </c>
      <c r="C33" s="8"/>
    </row>
    <row r="34" spans="1:3" ht="7.5" customHeight="1" x14ac:dyDescent="0.2"/>
    <row r="35" spans="1:3" ht="38.25" x14ac:dyDescent="0.2">
      <c r="A35" s="8" t="s">
        <v>13</v>
      </c>
      <c r="C35" s="8"/>
    </row>
    <row r="36" spans="1:3" x14ac:dyDescent="0.2">
      <c r="A36" s="14" t="s">
        <v>14</v>
      </c>
      <c r="C36" s="14"/>
    </row>
    <row r="37" spans="1:3" ht="7.5" customHeight="1" x14ac:dyDescent="0.2"/>
    <row r="38" spans="1:3" ht="51" x14ac:dyDescent="0.2">
      <c r="A38" s="7" t="s">
        <v>111</v>
      </c>
      <c r="C38" s="7"/>
    </row>
  </sheetData>
  <sheetProtection password="CA53" sheet="1" objects="1" scenarios="1"/>
  <pageMargins left="0.74791666666666667" right="0.74791666666666667" top="0.98402777777777772" bottom="0.98402777777777772" header="0.51180555555555551" footer="0.51180555555555551"/>
  <pageSetup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workbookViewId="0">
      <selection activeCell="B6" sqref="B6"/>
    </sheetView>
  </sheetViews>
  <sheetFormatPr defaultColWidth="9.140625" defaultRowHeight="12.75" x14ac:dyDescent="0.2"/>
  <cols>
    <col min="1" max="1" width="27" style="15" customWidth="1"/>
    <col min="2" max="2" width="17.42578125" style="15" customWidth="1"/>
    <col min="3" max="3" width="12.85546875" style="15" customWidth="1"/>
    <col min="4" max="6" width="9.140625" style="15"/>
    <col min="7" max="7" width="11.5703125" style="15" customWidth="1"/>
    <col min="8" max="16384" width="9.140625" style="15"/>
  </cols>
  <sheetData>
    <row r="1" spans="1:5" x14ac:dyDescent="0.2">
      <c r="B1" s="16" t="s">
        <v>15</v>
      </c>
    </row>
    <row r="3" spans="1:5" ht="14.25" x14ac:dyDescent="0.2">
      <c r="A3" s="17" t="s">
        <v>16</v>
      </c>
      <c r="B3" s="18"/>
      <c r="C3" s="19"/>
      <c r="D3" s="20"/>
    </row>
    <row r="4" spans="1:5" x14ac:dyDescent="0.2">
      <c r="A4" s="20"/>
      <c r="B4" s="18"/>
      <c r="C4" s="19"/>
      <c r="D4" s="20"/>
    </row>
    <row r="5" spans="1:5" x14ac:dyDescent="0.2">
      <c r="A5" s="21"/>
      <c r="B5" s="22" t="s">
        <v>17</v>
      </c>
      <c r="C5" s="23" t="s">
        <v>18</v>
      </c>
    </row>
    <row r="6" spans="1:5" x14ac:dyDescent="0.2">
      <c r="A6" s="24" t="s">
        <v>19</v>
      </c>
      <c r="B6" s="25"/>
      <c r="C6" s="26" t="s">
        <v>20</v>
      </c>
      <c r="D6" s="15" t="s">
        <v>7</v>
      </c>
    </row>
    <row r="7" spans="1:5" ht="14.25" x14ac:dyDescent="0.2">
      <c r="A7" s="24" t="s">
        <v>19</v>
      </c>
      <c r="B7" s="25"/>
      <c r="C7" s="26" t="s">
        <v>21</v>
      </c>
    </row>
    <row r="8" spans="1:5" ht="14.25" x14ac:dyDescent="0.2">
      <c r="A8" s="24" t="s">
        <v>19</v>
      </c>
      <c r="B8" s="27">
        <f>IF(B7=0,B6/1000,B7)</f>
        <v>0</v>
      </c>
      <c r="C8" s="26" t="s">
        <v>21</v>
      </c>
    </row>
    <row r="9" spans="1:5" ht="14.25" x14ac:dyDescent="0.2">
      <c r="A9" s="28" t="s">
        <v>22</v>
      </c>
      <c r="B9" s="29"/>
    </row>
    <row r="11" spans="1:5" x14ac:dyDescent="0.2">
      <c r="A11" s="30"/>
    </row>
    <row r="12" spans="1:5" ht="14.25" x14ac:dyDescent="0.2">
      <c r="A12" s="31" t="s">
        <v>23</v>
      </c>
    </row>
    <row r="13" spans="1:5" ht="118.9" customHeight="1" x14ac:dyDescent="0.2">
      <c r="A13" s="117" t="s">
        <v>109</v>
      </c>
      <c r="B13" s="117"/>
      <c r="C13" s="117"/>
      <c r="D13" s="117"/>
      <c r="E13" s="117"/>
    </row>
    <row r="14" spans="1:5" ht="14.25" x14ac:dyDescent="0.2">
      <c r="A14" s="32" t="s">
        <v>24</v>
      </c>
      <c r="B14" s="33">
        <v>38.183999999999997</v>
      </c>
      <c r="C14" s="26" t="s">
        <v>25</v>
      </c>
      <c r="D14" s="34"/>
    </row>
    <row r="15" spans="1:5" x14ac:dyDescent="0.2">
      <c r="A15" s="35" t="s">
        <v>26</v>
      </c>
      <c r="B15" s="36">
        <v>0.1</v>
      </c>
      <c r="C15" s="26" t="s">
        <v>27</v>
      </c>
    </row>
  </sheetData>
  <sheetProtection algorithmName="SHA-512" hashValue="daJV+WPKH8sdHAvPC5O6ZyLULKDaOZKcSxr5jHwZkIlLLuD4X0SFHJSbYx3x1iaup19N2hWkX7q/ymmB4pwfAg==" saltValue="gX/IGuuIIF+LjflPEwGfXQ==" spinCount="100000" sheet="1" objects="1" scenarios="1"/>
  <mergeCells count="1">
    <mergeCell ref="A13:E13"/>
  </mergeCells>
  <pageMargins left="0.74791666666666667" right="0.74791666666666667" top="0.98402777777777772" bottom="0.98402777777777772" header="0.51180555555555551" footer="0.51180555555555551"/>
  <pageSetup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heetViews>
  <sheetFormatPr defaultColWidth="8.7109375" defaultRowHeight="12.75" x14ac:dyDescent="0.2"/>
  <cols>
    <col min="1" max="1" width="21.85546875" style="37" customWidth="1"/>
    <col min="2" max="2" width="12.5703125" customWidth="1"/>
    <col min="3" max="3" width="18.7109375" customWidth="1"/>
    <col min="4" max="4" width="15.140625" customWidth="1"/>
    <col min="5" max="5" width="13.28515625" customWidth="1"/>
    <col min="6" max="6" width="26.42578125" customWidth="1"/>
    <col min="7" max="7" width="20.28515625" customWidth="1"/>
    <col min="8" max="8" width="7.42578125" style="38" customWidth="1"/>
    <col min="9" max="9" width="14.42578125" customWidth="1"/>
    <col min="10" max="10" width="8.5703125" customWidth="1"/>
  </cols>
  <sheetData>
    <row r="1" spans="1:10" x14ac:dyDescent="0.2">
      <c r="A1" s="98"/>
      <c r="B1" s="15"/>
      <c r="C1" s="16" t="s">
        <v>28</v>
      </c>
      <c r="D1" s="15"/>
      <c r="E1" s="15"/>
      <c r="F1" s="15"/>
      <c r="G1" s="15"/>
      <c r="H1" s="86"/>
      <c r="I1" s="15"/>
    </row>
    <row r="2" spans="1:10" x14ac:dyDescent="0.2">
      <c r="A2" s="98"/>
      <c r="B2" s="15"/>
      <c r="C2" s="15"/>
      <c r="D2" s="15"/>
      <c r="E2" s="15"/>
      <c r="F2" s="15"/>
      <c r="G2" s="15"/>
      <c r="H2" s="86"/>
      <c r="I2" s="15"/>
    </row>
    <row r="3" spans="1:10" ht="25.5" x14ac:dyDescent="0.2">
      <c r="A3" s="54" t="s">
        <v>29</v>
      </c>
      <c r="B3" s="54" t="s">
        <v>30</v>
      </c>
      <c r="C3" s="99" t="s">
        <v>31</v>
      </c>
      <c r="D3" s="23" t="s">
        <v>121</v>
      </c>
      <c r="E3" s="23" t="s">
        <v>32</v>
      </c>
      <c r="F3" s="55" t="s">
        <v>33</v>
      </c>
      <c r="G3" s="55" t="s">
        <v>34</v>
      </c>
      <c r="H3" s="23" t="s">
        <v>18</v>
      </c>
      <c r="I3" s="15"/>
    </row>
    <row r="4" spans="1:10" ht="14.25" x14ac:dyDescent="0.2">
      <c r="A4" s="39" t="s">
        <v>35</v>
      </c>
      <c r="B4" s="100" t="s">
        <v>36</v>
      </c>
      <c r="C4" s="108">
        <f>0.0000252*0.429922613929*'Entrez les données'!B$14</f>
        <v>4.1368736027467634E-4</v>
      </c>
      <c r="D4" s="26" t="s">
        <v>37</v>
      </c>
      <c r="E4" s="26" t="s">
        <v>38</v>
      </c>
      <c r="F4" s="26">
        <f>'Entrez les données'!$B$8</f>
        <v>0</v>
      </c>
      <c r="G4" s="58">
        <f>+C4*'Entrez les données'!$B$8/1000</f>
        <v>0</v>
      </c>
      <c r="H4" s="26" t="s">
        <v>39</v>
      </c>
      <c r="I4" s="15"/>
      <c r="J4" s="40"/>
    </row>
    <row r="5" spans="1:10" ht="14.25" x14ac:dyDescent="0.2">
      <c r="A5" s="39" t="s">
        <v>42</v>
      </c>
      <c r="B5" s="101" t="s">
        <v>43</v>
      </c>
      <c r="C5" s="108">
        <f>0.00000788*0.429922613929*'Entrez les données'!B$14</f>
        <v>1.2935938091128771E-4</v>
      </c>
      <c r="D5" s="26" t="s">
        <v>37</v>
      </c>
      <c r="E5" s="26" t="s">
        <v>38</v>
      </c>
      <c r="F5" s="26">
        <f>'Entrez les données'!$B$8</f>
        <v>0</v>
      </c>
      <c r="G5" s="58">
        <f>+C5*'Entrez les données'!$B$8/1000</f>
        <v>0</v>
      </c>
      <c r="H5" s="26" t="s">
        <v>39</v>
      </c>
      <c r="I5" s="15"/>
    </row>
    <row r="6" spans="1:10" ht="14.25" x14ac:dyDescent="0.2">
      <c r="A6" s="39" t="s">
        <v>44</v>
      </c>
      <c r="B6" s="101" t="s">
        <v>45</v>
      </c>
      <c r="C6" s="108">
        <f>0.000776*0.429922613929*'Entrez les données'!B$14</f>
        <v>1.2738944110045589E-2</v>
      </c>
      <c r="D6" s="26" t="s">
        <v>37</v>
      </c>
      <c r="E6" s="26" t="s">
        <v>38</v>
      </c>
      <c r="F6" s="26">
        <f>'Entrez les données'!$B$8</f>
        <v>0</v>
      </c>
      <c r="G6" s="58">
        <f>+C6*'Entrez les données'!$B$8/1000</f>
        <v>0</v>
      </c>
      <c r="H6" s="26" t="s">
        <v>39</v>
      </c>
      <c r="I6" s="15"/>
    </row>
    <row r="7" spans="1:10" ht="14.25" x14ac:dyDescent="0.2">
      <c r="A7" s="39" t="s">
        <v>46</v>
      </c>
      <c r="B7" s="101" t="s">
        <v>47</v>
      </c>
      <c r="C7" s="108">
        <f>0.0000789*0.429922613929*'Entrez les données'!B$14</f>
        <v>1.2952354256219032E-3</v>
      </c>
      <c r="D7" s="26" t="s">
        <v>37</v>
      </c>
      <c r="E7" s="26" t="s">
        <v>38</v>
      </c>
      <c r="F7" s="26">
        <f>'Entrez les données'!$B$8</f>
        <v>0</v>
      </c>
      <c r="G7" s="58">
        <f>+C7*'Entrez les données'!$B$8/1000</f>
        <v>0</v>
      </c>
      <c r="H7" s="26" t="s">
        <v>39</v>
      </c>
      <c r="I7" s="15"/>
    </row>
    <row r="8" spans="1:10" ht="14.25" x14ac:dyDescent="0.2">
      <c r="A8" s="39" t="s">
        <v>48</v>
      </c>
      <c r="B8" s="101" t="s">
        <v>49</v>
      </c>
      <c r="C8" s="108">
        <f>0.00013*0.429922613929*'Entrez les données'!B$14</f>
        <v>2.1341014617344413E-3</v>
      </c>
      <c r="D8" s="26" t="s">
        <v>37</v>
      </c>
      <c r="E8" s="26" t="s">
        <v>38</v>
      </c>
      <c r="F8" s="26">
        <f>'Entrez les données'!$B$8</f>
        <v>0</v>
      </c>
      <c r="G8" s="58">
        <f>+C8*'Entrez les données'!$B$8/1000</f>
        <v>0</v>
      </c>
      <c r="H8" s="26" t="s">
        <v>39</v>
      </c>
      <c r="I8" s="15"/>
    </row>
    <row r="9" spans="1:10" ht="14.25" x14ac:dyDescent="0.2">
      <c r="A9" s="57" t="s">
        <v>50</v>
      </c>
      <c r="B9" s="101" t="s">
        <v>51</v>
      </c>
      <c r="C9" s="108">
        <f>0.00279*0.429922613929*'Entrez les données'!B$14</f>
        <v>4.5801100601839166E-2</v>
      </c>
      <c r="D9" s="26" t="s">
        <v>37</v>
      </c>
      <c r="E9" s="26" t="s">
        <v>38</v>
      </c>
      <c r="F9" s="26">
        <f>'Entrez les données'!$B$8</f>
        <v>0</v>
      </c>
      <c r="G9" s="58">
        <f>+C9*'Entrez les données'!$B$8/1000</f>
        <v>0</v>
      </c>
      <c r="H9" s="26" t="s">
        <v>39</v>
      </c>
      <c r="I9" s="15"/>
    </row>
    <row r="10" spans="1:10" ht="14.25" x14ac:dyDescent="0.2">
      <c r="A10" s="63" t="s">
        <v>52</v>
      </c>
      <c r="B10" s="101" t="s">
        <v>53</v>
      </c>
      <c r="C10" s="108">
        <f>0.000281*0.429922613929*'Entrez les données'!B$14</f>
        <v>4.6129423903644466E-3</v>
      </c>
      <c r="D10" s="26" t="s">
        <v>37</v>
      </c>
      <c r="E10" s="26" t="s">
        <v>38</v>
      </c>
      <c r="F10" s="26">
        <f>'Entrez les données'!$B$8</f>
        <v>0</v>
      </c>
      <c r="G10" s="58">
        <f>+C10*'Entrez les données'!$B$8/1000</f>
        <v>0</v>
      </c>
      <c r="H10" s="26" t="s">
        <v>39</v>
      </c>
      <c r="I10" s="15"/>
    </row>
    <row r="11" spans="1:10" ht="14.25" x14ac:dyDescent="0.2">
      <c r="A11" s="102" t="s">
        <v>112</v>
      </c>
      <c r="B11" s="101" t="s">
        <v>54</v>
      </c>
      <c r="C11" s="108">
        <f>0.000193*0.429922613929*'Entrez les données'!B$14</f>
        <v>3.1683198624211325E-3</v>
      </c>
      <c r="D11" s="26" t="s">
        <v>37</v>
      </c>
      <c r="E11" s="26" t="s">
        <v>38</v>
      </c>
      <c r="F11" s="26">
        <f>'Entrez les données'!$B$8</f>
        <v>0</v>
      </c>
      <c r="G11" s="58">
        <f>+C11*'Entrez les données'!$B$8/1000</f>
        <v>0</v>
      </c>
      <c r="H11" s="26" t="s">
        <v>39</v>
      </c>
      <c r="I11" s="15"/>
    </row>
    <row r="12" spans="1:10" x14ac:dyDescent="0.2">
      <c r="A12" s="98"/>
      <c r="B12" s="74"/>
      <c r="C12" s="74"/>
      <c r="D12" s="74"/>
      <c r="E12" s="74"/>
      <c r="F12" s="74"/>
      <c r="G12" s="72"/>
      <c r="H12" s="86"/>
      <c r="I12" s="15"/>
    </row>
    <row r="13" spans="1:10" x14ac:dyDescent="0.2">
      <c r="A13" s="45" t="s">
        <v>123</v>
      </c>
      <c r="B13" s="74"/>
      <c r="C13" s="74"/>
      <c r="D13" s="74"/>
      <c r="E13" s="74"/>
      <c r="F13" s="74"/>
      <c r="G13" s="74"/>
      <c r="H13" s="74"/>
      <c r="I13" s="15"/>
    </row>
    <row r="14" spans="1:10" x14ac:dyDescent="0.2">
      <c r="A14" s="45"/>
      <c r="B14" s="74"/>
      <c r="C14" s="74"/>
      <c r="D14" s="74"/>
      <c r="E14" s="74"/>
      <c r="F14" s="74"/>
      <c r="G14" s="74"/>
      <c r="H14" s="74"/>
      <c r="I14" s="15"/>
    </row>
    <row r="15" spans="1:10" x14ac:dyDescent="0.2">
      <c r="A15" s="98"/>
      <c r="B15" s="79"/>
      <c r="C15" s="80"/>
      <c r="D15" s="80"/>
      <c r="E15" s="80"/>
      <c r="F15" s="80"/>
      <c r="G15" s="80"/>
      <c r="H15" s="80"/>
      <c r="I15" s="15"/>
    </row>
    <row r="16" spans="1:10" x14ac:dyDescent="0.2">
      <c r="B16" s="42"/>
      <c r="C16" s="42"/>
      <c r="D16" s="42"/>
      <c r="E16" s="42"/>
      <c r="F16" s="42"/>
      <c r="G16" s="43"/>
    </row>
    <row r="17" spans="1:7" x14ac:dyDescent="0.2">
      <c r="A17" s="48"/>
      <c r="B17" s="42"/>
      <c r="C17" s="42"/>
      <c r="D17" s="42"/>
      <c r="E17" s="42"/>
      <c r="F17" s="42"/>
      <c r="G17" s="43"/>
    </row>
    <row r="18" spans="1:7" x14ac:dyDescent="0.2">
      <c r="A18" s="49"/>
      <c r="B18" s="42"/>
      <c r="C18" s="42"/>
      <c r="D18" s="42"/>
      <c r="E18" s="42"/>
      <c r="F18" s="42"/>
      <c r="G18" s="43"/>
    </row>
    <row r="19" spans="1:7" x14ac:dyDescent="0.2">
      <c r="A19" s="49"/>
      <c r="B19" s="46"/>
      <c r="C19" s="47"/>
      <c r="D19" s="47"/>
      <c r="E19" s="47"/>
      <c r="F19" s="47"/>
      <c r="G19" s="43"/>
    </row>
    <row r="20" spans="1:7" x14ac:dyDescent="0.2">
      <c r="A20" s="49"/>
      <c r="B20" s="46"/>
      <c r="C20" s="47"/>
      <c r="D20" s="47"/>
      <c r="E20" s="47"/>
      <c r="F20" s="47"/>
      <c r="G20" s="43"/>
    </row>
    <row r="21" spans="1:7" x14ac:dyDescent="0.2">
      <c r="A21" s="50"/>
      <c r="B21" s="46"/>
      <c r="C21" s="47"/>
      <c r="D21" s="47"/>
      <c r="E21" s="47"/>
      <c r="F21" s="47"/>
      <c r="G21" s="43"/>
    </row>
    <row r="22" spans="1:7" x14ac:dyDescent="0.2">
      <c r="A22" s="50"/>
      <c r="B22" s="46"/>
      <c r="C22" s="47"/>
      <c r="D22" s="47"/>
      <c r="E22" s="47"/>
      <c r="F22" s="47"/>
      <c r="G22" s="43"/>
    </row>
    <row r="23" spans="1:7" x14ac:dyDescent="0.2">
      <c r="A23" s="50"/>
      <c r="B23" s="46"/>
      <c r="C23" s="47"/>
      <c r="D23" s="47"/>
      <c r="E23" s="47"/>
      <c r="F23" s="47"/>
      <c r="G23" s="43"/>
    </row>
    <row r="24" spans="1:7" x14ac:dyDescent="0.2">
      <c r="A24" s="50"/>
      <c r="B24" s="42"/>
      <c r="C24" s="47"/>
      <c r="D24" s="47"/>
      <c r="E24" s="47"/>
      <c r="F24" s="47"/>
      <c r="G24" s="43"/>
    </row>
    <row r="25" spans="1:7" x14ac:dyDescent="0.2">
      <c r="A25" s="50"/>
      <c r="B25" s="46"/>
      <c r="C25" s="47"/>
      <c r="D25" s="47"/>
      <c r="E25" s="47"/>
      <c r="F25" s="47"/>
      <c r="G25" s="43"/>
    </row>
    <row r="29" spans="1:7" x14ac:dyDescent="0.2">
      <c r="A29" s="49" t="s">
        <v>7</v>
      </c>
    </row>
    <row r="30" spans="1:7" x14ac:dyDescent="0.2">
      <c r="A30" s="49" t="s">
        <v>7</v>
      </c>
    </row>
  </sheetData>
  <sheetProtection password="CA53" sheet="1" objects="1" scenarios="1"/>
  <pageMargins left="0.74791666666666667" right="0.74791666666666667" top="0.98402777777777772" bottom="0.98402777777777772" header="0.51180555555555551" footer="0.51180555555555551"/>
  <pageSetup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heetViews>
  <sheetFormatPr defaultColWidth="9.140625" defaultRowHeight="12.75" x14ac:dyDescent="0.2"/>
  <cols>
    <col min="1" max="1" width="34.85546875" style="15" customWidth="1"/>
    <col min="2" max="2" width="12.5703125" style="51" customWidth="1"/>
    <col min="3" max="3" width="18.7109375" style="51" customWidth="1"/>
    <col min="4" max="4" width="15.140625" style="15" customWidth="1"/>
    <col min="5" max="5" width="13.28515625" style="15" customWidth="1"/>
    <col min="6" max="6" width="32.5703125" style="15" customWidth="1"/>
    <col min="7" max="7" width="26.5703125" style="15" customWidth="1"/>
    <col min="8" max="8" width="7.42578125" style="15" customWidth="1"/>
    <col min="9" max="16384" width="9.140625" style="15"/>
  </cols>
  <sheetData>
    <row r="1" spans="1:8" x14ac:dyDescent="0.2">
      <c r="B1" s="52"/>
      <c r="C1" s="16" t="s">
        <v>55</v>
      </c>
    </row>
    <row r="2" spans="1:8" x14ac:dyDescent="0.2">
      <c r="A2" s="52" t="s">
        <v>56</v>
      </c>
      <c r="B2" s="53"/>
      <c r="C2" s="53"/>
      <c r="D2" s="53"/>
      <c r="E2" s="53"/>
      <c r="F2" s="53"/>
    </row>
    <row r="3" spans="1:8" ht="25.5" x14ac:dyDescent="0.2">
      <c r="A3" s="54" t="s">
        <v>29</v>
      </c>
      <c r="B3" s="54" t="s">
        <v>30</v>
      </c>
      <c r="C3" s="23" t="s">
        <v>31</v>
      </c>
      <c r="D3" s="23" t="s">
        <v>121</v>
      </c>
      <c r="E3" s="23" t="s">
        <v>32</v>
      </c>
      <c r="F3" s="55" t="s">
        <v>33</v>
      </c>
      <c r="G3" s="56" t="s">
        <v>34</v>
      </c>
      <c r="H3" s="23" t="s">
        <v>18</v>
      </c>
    </row>
    <row r="4" spans="1:8" ht="14.25" x14ac:dyDescent="0.2">
      <c r="A4" s="57" t="s">
        <v>57</v>
      </c>
      <c r="B4" s="26" t="s">
        <v>58</v>
      </c>
      <c r="C4" s="109">
        <f>0.00000468*0.429922613929*'Entrez les données'!B14</f>
        <v>7.6827652622439896E-5</v>
      </c>
      <c r="D4" s="26" t="s">
        <v>37</v>
      </c>
      <c r="E4" s="26" t="s">
        <v>38</v>
      </c>
      <c r="F4" s="26">
        <f>'Entrez les données'!$B$8</f>
        <v>0</v>
      </c>
      <c r="G4" s="58">
        <f>C4*'Entrez les données'!$B$8</f>
        <v>0</v>
      </c>
      <c r="H4" s="26" t="s">
        <v>59</v>
      </c>
    </row>
    <row r="5" spans="1:8" s="60" customFormat="1" ht="14.25" x14ac:dyDescent="0.2">
      <c r="A5" s="57" t="s">
        <v>60</v>
      </c>
      <c r="B5" s="26" t="s">
        <v>61</v>
      </c>
      <c r="C5" s="109">
        <f>0.00000923*0.429922613929*'Entrez les données'!B14</f>
        <v>1.5152120378314533E-4</v>
      </c>
      <c r="D5" s="26" t="s">
        <v>37</v>
      </c>
      <c r="E5" s="26" t="s">
        <v>38</v>
      </c>
      <c r="F5" s="26">
        <f>'Entrez les données'!$B$8</f>
        <v>0</v>
      </c>
      <c r="G5" s="58">
        <f>C5*'Entrez les données'!$B$8</f>
        <v>0</v>
      </c>
      <c r="H5" s="59" t="s">
        <v>59</v>
      </c>
    </row>
    <row r="6" spans="1:8" s="60" customFormat="1" x14ac:dyDescent="0.2">
      <c r="A6" s="57" t="s">
        <v>40</v>
      </c>
      <c r="B6" s="26" t="s">
        <v>41</v>
      </c>
      <c r="C6" s="109">
        <f>0.00000123*0.429922613929*'Entrez les données'!B$14</f>
        <v>2.0191883061025873E-5</v>
      </c>
      <c r="D6" s="26" t="s">
        <v>108</v>
      </c>
      <c r="E6" s="26" t="s">
        <v>38</v>
      </c>
      <c r="F6" s="26">
        <f>'Entrez les données'!$B$8</f>
        <v>0</v>
      </c>
      <c r="G6" s="58">
        <f>+C6*'Entrez les données'!$B$8</f>
        <v>0</v>
      </c>
      <c r="H6" s="59" t="s">
        <v>59</v>
      </c>
    </row>
    <row r="7" spans="1:8" ht="14.25" x14ac:dyDescent="0.2">
      <c r="A7" s="57" t="s">
        <v>113</v>
      </c>
      <c r="B7" s="26" t="s">
        <v>62</v>
      </c>
      <c r="C7" s="109">
        <f>0.000000622*0.429922613929*'Entrez les données'!B14</f>
        <v>1.021085468614479E-5</v>
      </c>
      <c r="D7" s="26" t="s">
        <v>37</v>
      </c>
      <c r="E7" s="26" t="s">
        <v>38</v>
      </c>
      <c r="F7" s="26">
        <f>'Entrez les données'!$B$8</f>
        <v>0</v>
      </c>
      <c r="G7" s="58">
        <f>C7*'Entrez les données'!$B$8</f>
        <v>0</v>
      </c>
      <c r="H7" s="26" t="s">
        <v>59</v>
      </c>
    </row>
    <row r="8" spans="1:8" ht="14.25" x14ac:dyDescent="0.2">
      <c r="A8" s="57" t="s">
        <v>115</v>
      </c>
      <c r="B8" s="26" t="s">
        <v>63</v>
      </c>
      <c r="C8" s="109">
        <f>0.00000111*0.429922613929*'Entrez les données'!B14</f>
        <v>1.8221943250194075E-5</v>
      </c>
      <c r="D8" s="26" t="s">
        <v>37</v>
      </c>
      <c r="E8" s="26" t="s">
        <v>38</v>
      </c>
      <c r="F8" s="26">
        <f>'Entrez les données'!$B$8</f>
        <v>0</v>
      </c>
      <c r="G8" s="58">
        <f>C8*'Entrez les données'!$B$8</f>
        <v>0</v>
      </c>
      <c r="H8" s="26" t="s">
        <v>59</v>
      </c>
    </row>
    <row r="9" spans="1:8" ht="14.25" x14ac:dyDescent="0.2">
      <c r="A9" s="57" t="s">
        <v>116</v>
      </c>
      <c r="B9" s="59" t="s">
        <v>64</v>
      </c>
      <c r="C9" s="110">
        <f>(0.000000218/2)*0.429922613929*'Entrez les données'!B14</f>
        <v>1.7893619948388779E-6</v>
      </c>
      <c r="D9" s="27" t="s">
        <v>37</v>
      </c>
      <c r="E9" s="59" t="s">
        <v>38</v>
      </c>
      <c r="F9" s="59">
        <f>'Entrez les données'!$B$8</f>
        <v>0</v>
      </c>
      <c r="G9" s="61">
        <f>C9*'Entrez les données'!$B$8</f>
        <v>0</v>
      </c>
      <c r="H9" s="27" t="s">
        <v>59</v>
      </c>
    </row>
    <row r="10" spans="1:8" ht="14.25" x14ac:dyDescent="0.2">
      <c r="A10" s="57" t="s">
        <v>114</v>
      </c>
      <c r="B10" s="59" t="s">
        <v>65</v>
      </c>
      <c r="C10" s="110">
        <f>(0.000000257/2)*0.429922613929*'Entrez les données'!B14</f>
        <v>2.109477214099044E-6</v>
      </c>
      <c r="D10" s="27" t="s">
        <v>37</v>
      </c>
      <c r="E10" s="59" t="s">
        <v>38</v>
      </c>
      <c r="F10" s="59">
        <f>'Entrez les données'!$B$8</f>
        <v>0</v>
      </c>
      <c r="G10" s="61">
        <f>C10*'Entrez les données'!$B$8</f>
        <v>0</v>
      </c>
      <c r="H10" s="27" t="s">
        <v>59</v>
      </c>
    </row>
    <row r="11" spans="1:8" ht="14.25" x14ac:dyDescent="0.2">
      <c r="A11" s="57" t="s">
        <v>117</v>
      </c>
      <c r="B11" s="59" t="s">
        <v>66</v>
      </c>
      <c r="C11" s="110">
        <f>0.00000153*0.429922613929*'Entrez les données'!B14</f>
        <v>2.511673258810535E-5</v>
      </c>
      <c r="D11" s="27" t="s">
        <v>37</v>
      </c>
      <c r="E11" s="59" t="s">
        <v>38</v>
      </c>
      <c r="F11" s="59">
        <f>'Entrez les données'!$B$8</f>
        <v>0</v>
      </c>
      <c r="G11" s="61">
        <f>C11*'Entrez les données'!$B$8</f>
        <v>0</v>
      </c>
      <c r="H11" s="27" t="s">
        <v>59</v>
      </c>
    </row>
    <row r="12" spans="1:8" ht="14.25" x14ac:dyDescent="0.2">
      <c r="A12" s="57" t="s">
        <v>118</v>
      </c>
      <c r="B12" s="59" t="s">
        <v>67</v>
      </c>
      <c r="C12" s="110">
        <f>(0.000000556/2)*0.429922613929*'Entrez les données'!B14</f>
        <v>4.5636938950936509E-6</v>
      </c>
      <c r="D12" s="27" t="s">
        <v>37</v>
      </c>
      <c r="E12" s="59" t="s">
        <v>38</v>
      </c>
      <c r="F12" s="59">
        <f>'Entrez les données'!$B$8</f>
        <v>0</v>
      </c>
      <c r="G12" s="61">
        <f>C12*'Entrez les données'!$B$8</f>
        <v>0</v>
      </c>
      <c r="H12" s="27" t="s">
        <v>59</v>
      </c>
    </row>
    <row r="13" spans="1:8" ht="14.25" x14ac:dyDescent="0.2">
      <c r="A13" s="57" t="s">
        <v>119</v>
      </c>
      <c r="B13" s="59" t="s">
        <v>68</v>
      </c>
      <c r="C13" s="110">
        <f>(0.000000346/2)*0.429922613929*'Entrez les données'!B14</f>
        <v>2.8399965606158333E-6</v>
      </c>
      <c r="D13" s="27" t="s">
        <v>37</v>
      </c>
      <c r="E13" s="59" t="s">
        <v>38</v>
      </c>
      <c r="F13" s="59">
        <f>'Entrez les données'!$B$8</f>
        <v>0</v>
      </c>
      <c r="G13" s="61">
        <f>C13*'Entrez les données'!$B$8</f>
        <v>0</v>
      </c>
      <c r="H13" s="27" t="s">
        <v>59</v>
      </c>
    </row>
    <row r="14" spans="1:8" ht="12.95" customHeight="1" x14ac:dyDescent="0.2">
      <c r="A14" s="57" t="s">
        <v>69</v>
      </c>
      <c r="B14" s="62" t="s">
        <v>70</v>
      </c>
      <c r="C14" s="111">
        <f>0.00000403*0.429922613929*'Entrez les données'!B14</f>
        <v>6.6157145313767689E-5</v>
      </c>
      <c r="D14" s="27" t="s">
        <v>37</v>
      </c>
      <c r="E14" s="27" t="s">
        <v>38</v>
      </c>
      <c r="F14" s="27">
        <f>'Entrez les données'!$B$8</f>
        <v>0</v>
      </c>
      <c r="G14" s="61">
        <f>C14*'Entrez les données'!$B$8</f>
        <v>0</v>
      </c>
      <c r="H14" s="27" t="s">
        <v>59</v>
      </c>
    </row>
    <row r="15" spans="1:8" ht="14.25" x14ac:dyDescent="0.2">
      <c r="A15" s="57" t="s">
        <v>71</v>
      </c>
      <c r="B15" s="62" t="s">
        <v>72</v>
      </c>
      <c r="C15" s="111">
        <f>0.0000128*0.429922613929*'Entrez les données'!B14</f>
        <v>2.1012691315539116E-4</v>
      </c>
      <c r="D15" s="27" t="s">
        <v>37</v>
      </c>
      <c r="E15" s="27" t="s">
        <v>38</v>
      </c>
      <c r="F15" s="27">
        <f>'Entrez les données'!$B$8</f>
        <v>0</v>
      </c>
      <c r="G15" s="61">
        <f>C15*'Entrez les données'!$B$8</f>
        <v>0</v>
      </c>
      <c r="H15" s="27" t="s">
        <v>59</v>
      </c>
    </row>
    <row r="16" spans="1:8" ht="14.25" x14ac:dyDescent="0.2">
      <c r="A16" s="57" t="s">
        <v>120</v>
      </c>
      <c r="B16" s="62" t="s">
        <v>73</v>
      </c>
      <c r="C16" s="111">
        <f>(0.000000414/2)*0.429922613929*'Entrez les données'!B14</f>
        <v>3.3981461736848416E-6</v>
      </c>
      <c r="D16" s="27" t="s">
        <v>37</v>
      </c>
      <c r="E16" s="27" t="s">
        <v>38</v>
      </c>
      <c r="F16" s="27">
        <f>'Entrez les données'!$B$8</f>
        <v>0</v>
      </c>
      <c r="G16" s="61">
        <f>C16*'Entrez les données'!$B$8</f>
        <v>0</v>
      </c>
      <c r="H16" s="27" t="s">
        <v>59</v>
      </c>
    </row>
    <row r="17" spans="1:8" ht="14.25" x14ac:dyDescent="0.2">
      <c r="A17" s="63" t="s">
        <v>74</v>
      </c>
      <c r="B17" s="64" t="s">
        <v>75</v>
      </c>
      <c r="C17" s="112">
        <f>0.0000408*0.429922613929*'Entrez les données'!B14</f>
        <v>6.6977953568280932E-4</v>
      </c>
      <c r="D17" s="26" t="s">
        <v>37</v>
      </c>
      <c r="E17" s="26" t="s">
        <v>38</v>
      </c>
      <c r="F17" s="26">
        <f>'Entrez les données'!$B$8</f>
        <v>0</v>
      </c>
      <c r="G17" s="58">
        <f>C17*'Entrez les données'!$B$8</f>
        <v>0</v>
      </c>
      <c r="H17" s="26" t="s">
        <v>59</v>
      </c>
    </row>
    <row r="18" spans="1:8" ht="14.25" x14ac:dyDescent="0.2">
      <c r="A18" s="65" t="s">
        <v>76</v>
      </c>
      <c r="B18" s="66" t="s">
        <v>77</v>
      </c>
      <c r="C18" s="113">
        <f>0.00000371*0.429922613929*'Entrez les données'!B14</f>
        <v>6.0903972484882915E-5</v>
      </c>
      <c r="D18" s="67" t="s">
        <v>37</v>
      </c>
      <c r="E18" s="67" t="s">
        <v>38</v>
      </c>
      <c r="F18" s="67">
        <f>'Entrez les données'!$B$8</f>
        <v>0</v>
      </c>
      <c r="G18" s="68">
        <f>C18*'Entrez les données'!$B$8</f>
        <v>0</v>
      </c>
      <c r="H18" s="67" t="s">
        <v>59</v>
      </c>
    </row>
    <row r="19" spans="1:8" x14ac:dyDescent="0.2">
      <c r="A19" s="69"/>
      <c r="B19" s="70"/>
      <c r="C19" s="70"/>
      <c r="D19" s="71"/>
      <c r="E19" s="71"/>
      <c r="F19" s="71"/>
      <c r="G19" s="72"/>
      <c r="H19" s="71"/>
    </row>
    <row r="20" spans="1:8" x14ac:dyDescent="0.2">
      <c r="A20" s="73"/>
      <c r="B20" s="74"/>
      <c r="C20" s="74"/>
      <c r="D20" s="74"/>
      <c r="E20" s="74"/>
      <c r="F20" s="74"/>
      <c r="G20" s="72"/>
    </row>
    <row r="21" spans="1:8" x14ac:dyDescent="0.2">
      <c r="C21" s="16" t="s">
        <v>78</v>
      </c>
      <c r="E21" s="75"/>
      <c r="F21" s="75"/>
    </row>
    <row r="22" spans="1:8" x14ac:dyDescent="0.2">
      <c r="B22" s="53"/>
      <c r="C22" s="53"/>
      <c r="D22" s="53"/>
      <c r="E22" s="53"/>
      <c r="F22" s="53"/>
    </row>
    <row r="23" spans="1:8" x14ac:dyDescent="0.2">
      <c r="A23" s="97" t="s">
        <v>29</v>
      </c>
      <c r="B23" s="97" t="s">
        <v>30</v>
      </c>
      <c r="C23" s="97" t="s">
        <v>31</v>
      </c>
      <c r="D23" s="97" t="s">
        <v>121</v>
      </c>
      <c r="E23" s="97" t="s">
        <v>32</v>
      </c>
      <c r="F23" s="97" t="s">
        <v>33</v>
      </c>
      <c r="G23" s="97" t="s">
        <v>34</v>
      </c>
      <c r="H23" s="97" t="s">
        <v>18</v>
      </c>
    </row>
    <row r="24" spans="1:8" x14ac:dyDescent="0.2">
      <c r="A24" s="76"/>
      <c r="B24" s="76"/>
      <c r="C24" s="77"/>
      <c r="D24" s="77"/>
      <c r="E24" s="77"/>
      <c r="F24" s="77"/>
      <c r="G24" s="76"/>
      <c r="H24" s="78"/>
    </row>
    <row r="25" spans="1:8" x14ac:dyDescent="0.2">
      <c r="A25" s="17"/>
      <c r="B25" s="17" t="s">
        <v>79</v>
      </c>
      <c r="C25" s="77"/>
      <c r="D25" s="77"/>
      <c r="E25" s="77"/>
      <c r="F25" s="77"/>
      <c r="G25" s="76"/>
      <c r="H25" s="78"/>
    </row>
    <row r="26" spans="1:8" x14ac:dyDescent="0.2">
      <c r="A26" s="76"/>
      <c r="B26" s="76"/>
      <c r="C26" s="76"/>
      <c r="D26" s="77"/>
      <c r="E26" s="77"/>
      <c r="F26" s="77"/>
      <c r="G26" s="76"/>
      <c r="H26" s="78"/>
    </row>
    <row r="27" spans="1:8" x14ac:dyDescent="0.2">
      <c r="A27" s="44"/>
      <c r="B27" s="74"/>
      <c r="C27" s="74"/>
      <c r="D27" s="74"/>
      <c r="E27" s="74"/>
      <c r="F27" s="74"/>
      <c r="G27" s="72"/>
    </row>
    <row r="28" spans="1:8" x14ac:dyDescent="0.2">
      <c r="A28" s="44" t="s">
        <v>123</v>
      </c>
      <c r="B28" s="79"/>
      <c r="C28" s="79"/>
      <c r="D28" s="80"/>
      <c r="E28" s="80"/>
      <c r="F28" s="80"/>
      <c r="G28" s="72"/>
    </row>
  </sheetData>
  <sheetProtection password="CA53" sheet="1" objects="1" scenarios="1"/>
  <pageMargins left="0.74791666666666667" right="0.74791666666666667" top="0.98402777777777772" bottom="0.98402777777777772" header="0.51180555555555551" footer="0.51180555555555551"/>
  <pageSetup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workbookViewId="0"/>
  </sheetViews>
  <sheetFormatPr defaultColWidth="8.7109375" defaultRowHeight="12.75" x14ac:dyDescent="0.2"/>
  <cols>
    <col min="1" max="1" width="57.85546875" customWidth="1"/>
    <col min="2" max="2" width="12.5703125" customWidth="1"/>
    <col min="3" max="3" width="14.42578125" customWidth="1"/>
    <col min="4" max="4" width="14.5703125" customWidth="1"/>
    <col min="5" max="5" width="12.85546875" customWidth="1"/>
    <col min="6" max="6" width="28.28515625" customWidth="1"/>
    <col min="7" max="7" width="20.5703125" customWidth="1"/>
    <col min="8" max="8" width="7.42578125" customWidth="1"/>
  </cols>
  <sheetData>
    <row r="1" spans="1:9" x14ac:dyDescent="0.2">
      <c r="A1" s="15"/>
      <c r="B1" s="15"/>
      <c r="C1" s="15"/>
      <c r="D1" s="16" t="s">
        <v>81</v>
      </c>
      <c r="E1" s="15"/>
      <c r="F1" s="15"/>
      <c r="G1" s="15"/>
      <c r="H1" s="15"/>
      <c r="I1" s="15"/>
    </row>
    <row r="2" spans="1:9" x14ac:dyDescent="0.2">
      <c r="A2" s="31"/>
      <c r="B2" s="15"/>
      <c r="C2" s="15"/>
      <c r="D2" s="15"/>
      <c r="E2" s="15"/>
      <c r="F2" s="15"/>
      <c r="G2" s="15"/>
      <c r="H2" s="15"/>
      <c r="I2" s="15"/>
    </row>
    <row r="3" spans="1:9" ht="24.6" customHeight="1" x14ac:dyDescent="0.2">
      <c r="A3" s="103" t="s">
        <v>29</v>
      </c>
      <c r="B3" s="104" t="s">
        <v>30</v>
      </c>
      <c r="C3" s="104" t="s">
        <v>31</v>
      </c>
      <c r="D3" s="104" t="s">
        <v>121</v>
      </c>
      <c r="E3" s="104" t="s">
        <v>32</v>
      </c>
      <c r="F3" s="104" t="s">
        <v>33</v>
      </c>
      <c r="G3" s="104" t="s">
        <v>34</v>
      </c>
      <c r="H3" s="104" t="s">
        <v>18</v>
      </c>
      <c r="I3" s="15"/>
    </row>
    <row r="4" spans="1:9" ht="14.25" x14ac:dyDescent="0.2">
      <c r="A4" s="57" t="s">
        <v>82</v>
      </c>
      <c r="B4" s="26" t="s">
        <v>83</v>
      </c>
      <c r="C4" s="114">
        <f>0.85*0.429922613929*'Entrez les données'!B14</f>
        <v>13.953740326725192</v>
      </c>
      <c r="D4" s="26" t="s">
        <v>37</v>
      </c>
      <c r="E4" s="26" t="s">
        <v>84</v>
      </c>
      <c r="F4" s="26">
        <f>'Entrez les données'!$B$8</f>
        <v>0</v>
      </c>
      <c r="G4" s="58">
        <f>C4*'Entrez les données'!$B$8/1000</f>
        <v>0</v>
      </c>
      <c r="H4" s="26" t="s">
        <v>39</v>
      </c>
      <c r="I4" s="15"/>
    </row>
    <row r="5" spans="1:9" ht="15.75" x14ac:dyDescent="0.3">
      <c r="A5" s="57" t="s">
        <v>85</v>
      </c>
      <c r="B5" s="105" t="s">
        <v>86</v>
      </c>
      <c r="C5" s="114">
        <f>1.01*'Entrez les données'!B15*0.429922613929*'Entrez les données'!B14</f>
        <v>1.6580326741167586</v>
      </c>
      <c r="D5" s="26" t="s">
        <v>37</v>
      </c>
      <c r="E5" s="26" t="s">
        <v>87</v>
      </c>
      <c r="F5" s="26">
        <f>'Entrez les données'!$B$8</f>
        <v>0</v>
      </c>
      <c r="G5" s="58">
        <f>C5*'Entrez les données'!$B$8/1000</f>
        <v>0</v>
      </c>
      <c r="H5" s="26" t="s">
        <v>39</v>
      </c>
      <c r="I5" s="15"/>
    </row>
    <row r="6" spans="1:9" ht="15.75" x14ac:dyDescent="0.3">
      <c r="A6" s="82" t="s">
        <v>88</v>
      </c>
      <c r="B6" s="26" t="s">
        <v>89</v>
      </c>
      <c r="C6" s="114">
        <f>3.2*0.429922613929*'Entrez les données'!B14</f>
        <v>52.531728288847795</v>
      </c>
      <c r="D6" s="26" t="s">
        <v>37</v>
      </c>
      <c r="E6" s="26" t="s">
        <v>87</v>
      </c>
      <c r="F6" s="26">
        <f>'Entrez les données'!$B$8</f>
        <v>0</v>
      </c>
      <c r="G6" s="58">
        <f>C6*'Entrez les données'!$B$8/1000</f>
        <v>0</v>
      </c>
      <c r="H6" s="26" t="s">
        <v>39</v>
      </c>
      <c r="I6" s="15"/>
    </row>
    <row r="7" spans="1:9" s="41" customFormat="1" ht="14.25" x14ac:dyDescent="0.2">
      <c r="A7" s="57" t="s">
        <v>122</v>
      </c>
      <c r="B7" s="59" t="s">
        <v>90</v>
      </c>
      <c r="C7" s="115">
        <f>0.09*0.91*0.429922613929*'Entrez les données'!B14</f>
        <v>1.344483920892698</v>
      </c>
      <c r="D7" s="59" t="s">
        <v>37</v>
      </c>
      <c r="E7" s="59" t="s">
        <v>38</v>
      </c>
      <c r="F7" s="59">
        <f>'Entrez les données'!$B$8</f>
        <v>0</v>
      </c>
      <c r="G7" s="61">
        <f>C7*'Entrez les données'!$B$8/1000</f>
        <v>0</v>
      </c>
      <c r="H7" s="59" t="s">
        <v>39</v>
      </c>
      <c r="I7" s="106"/>
    </row>
    <row r="8" spans="1:9" ht="14.25" x14ac:dyDescent="0.2">
      <c r="A8" s="107" t="s">
        <v>91</v>
      </c>
      <c r="B8" s="26" t="s">
        <v>90</v>
      </c>
      <c r="C8" s="114">
        <f>0.062*0.429922613929*'Entrez les données'!B14</f>
        <v>1.017802235596426</v>
      </c>
      <c r="D8" s="26" t="s">
        <v>37</v>
      </c>
      <c r="E8" s="26" t="s">
        <v>38</v>
      </c>
      <c r="F8" s="26">
        <f>'Entrez les données'!$B$8</f>
        <v>0</v>
      </c>
      <c r="G8" s="58">
        <f>C8*'Entrez les données'!$B$8/1000</f>
        <v>0</v>
      </c>
      <c r="H8" s="26" t="s">
        <v>39</v>
      </c>
      <c r="I8" s="15"/>
    </row>
    <row r="9" spans="1:9" ht="15.75" x14ac:dyDescent="0.3">
      <c r="A9" s="57" t="s">
        <v>92</v>
      </c>
      <c r="B9" s="26" t="s">
        <v>90</v>
      </c>
      <c r="C9" s="114">
        <f>0.0496*0.429922613929*'Entrez les données'!B14</f>
        <v>0.81424178847714068</v>
      </c>
      <c r="D9" s="26" t="s">
        <v>37</v>
      </c>
      <c r="E9" s="26" t="s">
        <v>38</v>
      </c>
      <c r="F9" s="26">
        <f>'Entrez les données'!$B$8</f>
        <v>0</v>
      </c>
      <c r="G9" s="58">
        <f>C9*'Entrez les données'!$B$8/1000</f>
        <v>0</v>
      </c>
      <c r="H9" s="26" t="s">
        <v>39</v>
      </c>
      <c r="I9" s="15"/>
    </row>
    <row r="10" spans="1:9" ht="15.75" x14ac:dyDescent="0.3">
      <c r="A10" s="57" t="s">
        <v>93</v>
      </c>
      <c r="B10" s="26" t="s">
        <v>90</v>
      </c>
      <c r="C10" s="114">
        <f>0.0479*0.429922613929*'Entrez les données'!B14</f>
        <v>0.7863343078236904</v>
      </c>
      <c r="D10" s="26" t="s">
        <v>37</v>
      </c>
      <c r="E10" s="26" t="s">
        <v>38</v>
      </c>
      <c r="F10" s="26">
        <f>'Entrez les données'!$B$8</f>
        <v>0</v>
      </c>
      <c r="G10" s="58">
        <f>C10*'Entrez les données'!$B$8/1000</f>
        <v>0</v>
      </c>
      <c r="H10" s="26" t="s">
        <v>39</v>
      </c>
      <c r="I10" s="15"/>
    </row>
    <row r="11" spans="1:9" x14ac:dyDescent="0.2">
      <c r="A11" s="15"/>
      <c r="B11" s="15"/>
      <c r="C11" s="45"/>
      <c r="D11" s="15"/>
      <c r="E11" s="15"/>
      <c r="F11" s="15"/>
      <c r="G11" s="75"/>
      <c r="H11" s="15"/>
      <c r="I11" s="15"/>
    </row>
    <row r="12" spans="1:9" x14ac:dyDescent="0.2">
      <c r="A12" s="45" t="s">
        <v>80</v>
      </c>
      <c r="B12" s="15"/>
      <c r="C12" s="15"/>
      <c r="D12" s="15"/>
      <c r="E12" s="15"/>
      <c r="F12" s="15"/>
      <c r="G12" s="75"/>
      <c r="H12" s="15"/>
      <c r="I12" s="15"/>
    </row>
    <row r="13" spans="1:9" x14ac:dyDescent="0.2">
      <c r="A13" s="44" t="s">
        <v>123</v>
      </c>
      <c r="G13" s="83"/>
    </row>
  </sheetData>
  <sheetProtection password="CA53" sheet="1" objects="1" scenarios="1"/>
  <pageMargins left="0.74791666666666667" right="0.74791666666666667" top="0.98402777777777772" bottom="0.98402777777777772" header="0.51180555555555551" footer="0.51180555555555551"/>
  <pageSetup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heetViews>
  <sheetFormatPr defaultColWidth="9.140625" defaultRowHeight="12.75" x14ac:dyDescent="0.2"/>
  <cols>
    <col min="1" max="1" width="21.7109375" style="15" customWidth="1"/>
    <col min="2" max="2" width="12.5703125" style="15" customWidth="1"/>
    <col min="3" max="3" width="19.5703125" style="15" customWidth="1"/>
    <col min="4" max="4" width="16.42578125" style="15" customWidth="1"/>
    <col min="5" max="5" width="14.85546875" style="15" customWidth="1"/>
    <col min="6" max="6" width="26.140625" style="15" customWidth="1"/>
    <col min="7" max="7" width="25.5703125" style="15" customWidth="1"/>
    <col min="8" max="8" width="7.42578125" style="15" customWidth="1"/>
    <col min="9" max="16384" width="9.140625" style="15"/>
  </cols>
  <sheetData>
    <row r="1" spans="1:8" x14ac:dyDescent="0.2">
      <c r="D1" s="16" t="s">
        <v>94</v>
      </c>
    </row>
    <row r="3" spans="1:8" ht="25.5" x14ac:dyDescent="0.2">
      <c r="A3" s="54" t="s">
        <v>29</v>
      </c>
      <c r="B3" s="54" t="s">
        <v>30</v>
      </c>
      <c r="C3" s="23" t="s">
        <v>31</v>
      </c>
      <c r="D3" s="23" t="s">
        <v>121</v>
      </c>
      <c r="E3" s="23" t="s">
        <v>32</v>
      </c>
      <c r="F3" s="55" t="s">
        <v>33</v>
      </c>
      <c r="G3" s="54" t="s">
        <v>34</v>
      </c>
      <c r="H3" s="23" t="s">
        <v>18</v>
      </c>
    </row>
    <row r="4" spans="1:8" ht="14.25" x14ac:dyDescent="0.2">
      <c r="A4" s="39" t="s">
        <v>44</v>
      </c>
      <c r="B4" s="64" t="s">
        <v>45</v>
      </c>
      <c r="C4" s="116">
        <f>0.000776*0.42992553873*'Entrez les données'!B14</f>
        <v>1.2739030774192264E-2</v>
      </c>
      <c r="D4" s="26" t="s">
        <v>37</v>
      </c>
      <c r="E4" s="26" t="s">
        <v>38</v>
      </c>
      <c r="F4" s="26">
        <f>'Entrez les données'!$B$8</f>
        <v>0</v>
      </c>
      <c r="G4" s="58">
        <f>C4*'Entrez les données'!B8/1000</f>
        <v>0</v>
      </c>
      <c r="H4" s="26" t="s">
        <v>39</v>
      </c>
    </row>
    <row r="5" spans="1:8" ht="14.25" x14ac:dyDescent="0.2">
      <c r="A5" s="39" t="s">
        <v>46</v>
      </c>
      <c r="B5" s="64" t="s">
        <v>47</v>
      </c>
      <c r="C5" s="116">
        <f>0.0000789*0.42992553873*'Entrez les données'!B14</f>
        <v>1.2952442372213525E-3</v>
      </c>
      <c r="D5" s="26" t="s">
        <v>37</v>
      </c>
      <c r="E5" s="26" t="s">
        <v>38</v>
      </c>
      <c r="F5" s="26">
        <f>'Entrez les données'!$B$8</f>
        <v>0</v>
      </c>
      <c r="G5" s="58">
        <f>C5*'Entrez les données'!B8/1000</f>
        <v>0</v>
      </c>
      <c r="H5" s="26" t="s">
        <v>39</v>
      </c>
    </row>
    <row r="6" spans="1:8" ht="14.25" x14ac:dyDescent="0.2">
      <c r="A6" s="57" t="s">
        <v>50</v>
      </c>
      <c r="B6" s="64" t="s">
        <v>51</v>
      </c>
      <c r="C6" s="116">
        <f>0.00279*0.42992553873*'Entrez les données'!B14</f>
        <v>4.5801412190717032E-2</v>
      </c>
      <c r="D6" s="26" t="s">
        <v>37</v>
      </c>
      <c r="E6" s="26" t="s">
        <v>38</v>
      </c>
      <c r="F6" s="26">
        <f>'Entrez les données'!$B$8</f>
        <v>0</v>
      </c>
      <c r="G6" s="58">
        <f>C6*'Entrez les données'!B8/1000</f>
        <v>0</v>
      </c>
      <c r="H6" s="26" t="s">
        <v>39</v>
      </c>
    </row>
    <row r="7" spans="1:8" ht="14.25" x14ac:dyDescent="0.2">
      <c r="A7" s="63" t="s">
        <v>52</v>
      </c>
      <c r="B7" s="64" t="s">
        <v>53</v>
      </c>
      <c r="C7" s="116">
        <f>0.000281*0.42992553873*'Entrez les données'!B14</f>
        <v>4.6129737726134361E-3</v>
      </c>
      <c r="D7" s="26" t="s">
        <v>37</v>
      </c>
      <c r="E7" s="26" t="s">
        <v>38</v>
      </c>
      <c r="F7" s="26">
        <f>'Entrez les données'!$B$8</f>
        <v>0</v>
      </c>
      <c r="G7" s="58">
        <f>C7*'Entrez les données'!B8/1000</f>
        <v>0</v>
      </c>
      <c r="H7" s="26" t="s">
        <v>39</v>
      </c>
    </row>
    <row r="8" spans="1:8" ht="14.25" x14ac:dyDescent="0.2">
      <c r="A8" s="102" t="s">
        <v>112</v>
      </c>
      <c r="B8" s="64" t="s">
        <v>54</v>
      </c>
      <c r="C8" s="116">
        <f>0.000193*0.42992553873*'Entrez les données'!B14</f>
        <v>3.1683414167771999E-3</v>
      </c>
      <c r="D8" s="26" t="s">
        <v>37</v>
      </c>
      <c r="E8" s="26" t="s">
        <v>38</v>
      </c>
      <c r="F8" s="26">
        <f>'Entrez les données'!$B$8</f>
        <v>0</v>
      </c>
      <c r="G8" s="58">
        <f>C8*'Entrez les données'!B8/1000</f>
        <v>0</v>
      </c>
      <c r="H8" s="26" t="s">
        <v>39</v>
      </c>
    </row>
    <row r="9" spans="1:8" x14ac:dyDescent="0.2">
      <c r="A9" s="84"/>
      <c r="B9" s="79"/>
      <c r="C9" s="85"/>
      <c r="D9" s="86"/>
      <c r="E9" s="86"/>
      <c r="F9" s="86"/>
      <c r="G9" s="72"/>
      <c r="H9" s="86"/>
    </row>
    <row r="10" spans="1:8" x14ac:dyDescent="0.2">
      <c r="A10" s="45"/>
      <c r="G10" s="75"/>
    </row>
    <row r="11" spans="1:8" x14ac:dyDescent="0.2">
      <c r="A11" s="45" t="s">
        <v>123</v>
      </c>
      <c r="G11" s="75"/>
    </row>
  </sheetData>
  <sheetProtection password="CA53" sheet="1" objects="1" scenarios="1"/>
  <pageMargins left="0.74791666666666667" right="0.74791666666666667" top="0.98402777777777772" bottom="0.98402777777777772" header="0.51180555555555551" footer="0.51180555555555551"/>
  <pageSetup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6" sqref="B6:B7"/>
    </sheetView>
  </sheetViews>
  <sheetFormatPr defaultColWidth="8.7109375" defaultRowHeight="12.75" x14ac:dyDescent="0.2"/>
  <cols>
    <col min="1" max="1" width="11.28515625" customWidth="1"/>
    <col min="2" max="2" width="69" customWidth="1"/>
  </cols>
  <sheetData>
    <row r="1" spans="1:3" x14ac:dyDescent="0.2">
      <c r="A1" s="81" t="s">
        <v>100</v>
      </c>
    </row>
    <row r="2" spans="1:3" x14ac:dyDescent="0.2">
      <c r="A2" s="90" t="s">
        <v>101</v>
      </c>
      <c r="B2" s="91" t="s">
        <v>102</v>
      </c>
      <c r="C2" s="92" t="s">
        <v>103</v>
      </c>
    </row>
    <row r="3" spans="1:3" x14ac:dyDescent="0.2">
      <c r="A3" s="93">
        <v>39848</v>
      </c>
      <c r="B3" s="94" t="s">
        <v>104</v>
      </c>
      <c r="C3" s="95" t="s">
        <v>105</v>
      </c>
    </row>
    <row r="4" spans="1:3" ht="75" customHeight="1" x14ac:dyDescent="0.2">
      <c r="A4" s="93">
        <v>42423</v>
      </c>
      <c r="B4" s="96" t="s">
        <v>106</v>
      </c>
      <c r="C4" s="95" t="s">
        <v>107</v>
      </c>
    </row>
    <row r="5" spans="1:3" ht="74.45" customHeight="1" x14ac:dyDescent="0.2"/>
  </sheetData>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33</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Entrez les données</vt:lpstr>
      <vt:lpstr>Rejets de la Partie 1</vt:lpstr>
      <vt:lpstr>Rejets des Parties 2 et 3</vt:lpstr>
      <vt:lpstr>Rejets de la Partie 4</vt:lpstr>
      <vt:lpstr>Rejets de la Partie 5</vt:lpstr>
      <vt:lpstr>Histoire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revision>5</cp:revision>
  <cp:lastPrinted>2005-01-28T22:08:33Z</cp:lastPrinted>
  <dcterms:created xsi:type="dcterms:W3CDTF">2003-10-06T20:49:16Z</dcterms:created>
  <dcterms:modified xsi:type="dcterms:W3CDTF">2023-02-07T13:11:10Z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SharedFileIndex">
    <vt:lpwstr/>
  </property>
</Properties>
</file>