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84" windowWidth="15480" windowHeight="11376" tabRatio="771" activeTab="3"/>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 name="Document History" sheetId="7" r:id="rId7"/>
  </sheets>
  <calcPr calcId="145621"/>
</workbook>
</file>

<file path=xl/calcChain.xml><?xml version="1.0" encoding="utf-8"?>
<calcChain xmlns="http://schemas.openxmlformats.org/spreadsheetml/2006/main">
  <c r="C5" i="6" l="1"/>
  <c r="C17" i="4"/>
  <c r="C10" i="4"/>
  <c r="C14" i="4"/>
  <c r="C13" i="4"/>
  <c r="C12" i="4"/>
  <c r="C11" i="4"/>
  <c r="C7" i="4"/>
  <c r="C6" i="4"/>
  <c r="C8" i="3"/>
  <c r="C5" i="3"/>
  <c r="C6" i="3"/>
  <c r="C9" i="4"/>
  <c r="C9" i="6"/>
  <c r="C7" i="5"/>
  <c r="C7" i="6"/>
  <c r="B8" i="2"/>
  <c r="G4" i="6" s="1"/>
  <c r="C4" i="6"/>
  <c r="C16" i="4"/>
  <c r="C8" i="4"/>
  <c r="C18" i="4"/>
  <c r="C11" i="3"/>
  <c r="C7" i="3"/>
  <c r="C10" i="5"/>
  <c r="C9" i="5"/>
  <c r="C8" i="5"/>
  <c r="C6" i="5"/>
  <c r="C5" i="5"/>
  <c r="C4" i="5"/>
  <c r="C19" i="4"/>
  <c r="C15" i="4"/>
  <c r="C13" i="3"/>
  <c r="C12" i="3"/>
  <c r="C10" i="3"/>
  <c r="C9" i="3"/>
  <c r="C4" i="3"/>
  <c r="C8" i="6"/>
  <c r="C6" i="6"/>
  <c r="C20" i="3"/>
  <c r="F9" i="3" l="1"/>
  <c r="G8" i="5"/>
  <c r="F6" i="4"/>
  <c r="G12" i="3"/>
  <c r="F18" i="4"/>
  <c r="F17" i="4"/>
  <c r="F16" i="4"/>
  <c r="F5" i="3"/>
  <c r="F5" i="5"/>
  <c r="G5" i="5"/>
  <c r="G6" i="3"/>
  <c r="G19" i="4"/>
  <c r="F6" i="5"/>
  <c r="G9" i="3"/>
  <c r="G7" i="4"/>
  <c r="F9" i="6"/>
  <c r="G7" i="6"/>
  <c r="G6" i="6"/>
  <c r="G9" i="6"/>
  <c r="F7" i="4"/>
  <c r="G13" i="3"/>
  <c r="F12" i="3"/>
  <c r="F6" i="3"/>
  <c r="F11" i="3"/>
  <c r="F10" i="3"/>
  <c r="F10" i="4"/>
  <c r="F8" i="6"/>
  <c r="F20" i="3"/>
  <c r="G5" i="3"/>
  <c r="F13" i="3"/>
  <c r="F8" i="5"/>
  <c r="G8" i="4"/>
  <c r="G9" i="4"/>
  <c r="G8" i="3"/>
  <c r="G11" i="4"/>
  <c r="F5" i="6"/>
  <c r="F9" i="4"/>
  <c r="F15" i="4"/>
  <c r="G16" i="4"/>
  <c r="G6" i="4"/>
  <c r="G4" i="5"/>
  <c r="F19" i="4"/>
  <c r="G18" i="4"/>
  <c r="F6" i="6"/>
  <c r="F8" i="3"/>
  <c r="G10" i="4"/>
  <c r="G9" i="5"/>
  <c r="F7" i="3"/>
  <c r="F7" i="6"/>
  <c r="G10" i="3"/>
  <c r="G15" i="4"/>
  <c r="G11" i="3"/>
  <c r="G17" i="4"/>
  <c r="G7" i="5"/>
  <c r="G14" i="4"/>
  <c r="F4" i="5"/>
  <c r="G13" i="4"/>
  <c r="F9" i="5"/>
  <c r="G7" i="3"/>
  <c r="F10" i="5"/>
  <c r="F11" i="4"/>
  <c r="F4" i="6"/>
  <c r="F13" i="4"/>
  <c r="F7" i="5"/>
  <c r="F4" i="3"/>
  <c r="F14" i="4"/>
  <c r="G4" i="3"/>
  <c r="F8" i="4"/>
  <c r="G20" i="3"/>
  <c r="G6" i="5"/>
  <c r="G10" i="5"/>
  <c r="F12" i="4"/>
  <c r="G12" i="4"/>
  <c r="G8" i="6"/>
  <c r="G5" i="6"/>
  <c r="G20" i="4" l="1"/>
</calcChain>
</file>

<file path=xl/sharedStrings.xml><?xml version="1.0" encoding="utf-8"?>
<sst xmlns="http://schemas.openxmlformats.org/spreadsheetml/2006/main" count="303" uniqueCount="129">
  <si>
    <t>Input Data</t>
  </si>
  <si>
    <t>Substance Name</t>
  </si>
  <si>
    <t>CAS Number</t>
  </si>
  <si>
    <t>Units</t>
  </si>
  <si>
    <t>*</t>
  </si>
  <si>
    <t>Carbon Monoxide (CO)</t>
  </si>
  <si>
    <t>630-08-0</t>
  </si>
  <si>
    <t>tonnes</t>
  </si>
  <si>
    <t>Sulphur Dioxide (SO2)</t>
  </si>
  <si>
    <t>7446-09-5</t>
  </si>
  <si>
    <t>11104-93-1</t>
  </si>
  <si>
    <t>Volatile Organic Compounds (VOCs)</t>
  </si>
  <si>
    <t>Total Particulate Matter (TPM)</t>
  </si>
  <si>
    <t>Activity Rate</t>
  </si>
  <si>
    <t>Part 4 Criteria Air Contaminants (CAC) Releases</t>
  </si>
  <si>
    <t>Part 5 Selected Volatile Organic Compounds Releases</t>
  </si>
  <si>
    <t>Purpose</t>
  </si>
  <si>
    <t>How to Use the Estimation Tool</t>
  </si>
  <si>
    <t>Sources of Information</t>
  </si>
  <si>
    <t>Additional Information</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</si>
  <si>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</si>
  <si>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 xml:space="preserve"> </t>
  </si>
  <si>
    <t>71-43-2</t>
  </si>
  <si>
    <t>115-07-1</t>
  </si>
  <si>
    <t>Level 1 - Internal Combustion Engines</t>
  </si>
  <si>
    <t>Level 2 - Industrial, Commercial/Institutional</t>
  </si>
  <si>
    <t>Level 3 - Distillate Oil (Diesel)</t>
  </si>
  <si>
    <t>Level 4 - Reciprocating</t>
  </si>
  <si>
    <t>Diesel Fuel Burned</t>
  </si>
  <si>
    <t>Benzene</t>
  </si>
  <si>
    <t>1,3-Butadiene</t>
  </si>
  <si>
    <t>106-99-0</t>
  </si>
  <si>
    <t>Propylene</t>
  </si>
  <si>
    <r>
      <t>kg/m</t>
    </r>
    <r>
      <rPr>
        <vertAlign val="superscript"/>
        <sz val="10"/>
        <rFont val="Arial"/>
        <family val="2"/>
      </rPr>
      <t>3</t>
    </r>
  </si>
  <si>
    <r>
      <t>m</t>
    </r>
    <r>
      <rPr>
        <vertAlign val="superscript"/>
        <sz val="10"/>
        <rFont val="Arial"/>
        <family val="2"/>
      </rPr>
      <t>3</t>
    </r>
  </si>
  <si>
    <t>D</t>
  </si>
  <si>
    <t>EF Rating</t>
  </si>
  <si>
    <t xml:space="preserve">The emission factors used in this spreadsheet are based on uncontrolled emissions.  If you are using an emission control device you will have to adjust the emissions calculated by this spreadsheet according to the following formula: </t>
  </si>
  <si>
    <t>Controlled Emissions = Uncontrolled emission x ((100 - control efficiency)/100))</t>
  </si>
  <si>
    <t xml:space="preserve">Emission Factor </t>
  </si>
  <si>
    <t>EF** Units</t>
  </si>
  <si>
    <t>Total Release</t>
  </si>
  <si>
    <t>SCC Code - 20200102, 20300101</t>
  </si>
  <si>
    <t>Oxides of Nitrogen, expressed as NO2 (NOx)</t>
  </si>
  <si>
    <t>Heating Value</t>
  </si>
  <si>
    <r>
      <t>GJ/m</t>
    </r>
    <r>
      <rPr>
        <vertAlign val="superscript"/>
        <sz val="10"/>
        <rFont val="Arial"/>
        <family val="2"/>
      </rPr>
      <t>3</t>
    </r>
  </si>
  <si>
    <t>Acetaldehyde</t>
  </si>
  <si>
    <t>75-07-0</t>
  </si>
  <si>
    <t>E</t>
  </si>
  <si>
    <t>Formaldehyde</t>
  </si>
  <si>
    <t>50-00-0</t>
  </si>
  <si>
    <t>Mercury</t>
  </si>
  <si>
    <t>7439-97-6</t>
  </si>
  <si>
    <t>U</t>
  </si>
  <si>
    <t>Naphthalene</t>
  </si>
  <si>
    <t>91-20-3</t>
  </si>
  <si>
    <t>Toluene</t>
  </si>
  <si>
    <t>108-88-3</t>
  </si>
  <si>
    <t>Isomers of Xylene</t>
  </si>
  <si>
    <t>1330-20-7</t>
  </si>
  <si>
    <t>Benzo (a) anthracene</t>
  </si>
  <si>
    <t>56-55-3</t>
  </si>
  <si>
    <t>kg</t>
  </si>
  <si>
    <t>Fluoranthene</t>
  </si>
  <si>
    <t>206-44-0</t>
  </si>
  <si>
    <t>Phenanthrene</t>
  </si>
  <si>
    <t>85-01-8</t>
  </si>
  <si>
    <t>Pyrene</t>
  </si>
  <si>
    <t>129-00-0</t>
  </si>
  <si>
    <t>TOTAL</t>
  </si>
  <si>
    <t>Part 3 Substance Releases</t>
  </si>
  <si>
    <t>Part 2 Substance Releases</t>
  </si>
  <si>
    <t>No Emission Factors can be found for Part 3 substances.</t>
  </si>
  <si>
    <t>Activity Rate from input tab</t>
  </si>
  <si>
    <t>* No single CAS Number applies to this substance</t>
  </si>
  <si>
    <t>EF*** Units</t>
  </si>
  <si>
    <t>*** EF = Emission Factor</t>
  </si>
  <si>
    <t>Total Release to 3 decimals</t>
  </si>
  <si>
    <t>This spreadsheet was designed to assist with estimating the releases of NPRI substances from the diesel fuel combustion in a generator (reciprocating engines). All NPRI substances, where emission factors are available, are considered in this activity.</t>
  </si>
  <si>
    <t xml:space="preserve">Since the NPRI reporting thresholds are for the facility as a whole the air releases calculated in this spreadsheet must be added to the NPRI releases from other sources (air releases) and activities at the facility.  </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</si>
  <si>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</si>
  <si>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Liters</t>
  </si>
  <si>
    <r>
      <t>Note: 1,000 liters = 1m</t>
    </r>
    <r>
      <rPr>
        <vertAlign val="superscript"/>
        <sz val="10"/>
        <rFont val="Arial"/>
      </rPr>
      <t>3</t>
    </r>
  </si>
  <si>
    <t>Part 1A Substance Releases</t>
  </si>
  <si>
    <t>Part 1B Substance Releases</t>
  </si>
  <si>
    <t>Activity Rate from Input Tab</t>
  </si>
  <si>
    <t>Acenaphthene</t>
  </si>
  <si>
    <t>83-32-9</t>
  </si>
  <si>
    <t>86-73-7</t>
  </si>
  <si>
    <t>Fluorene</t>
  </si>
  <si>
    <t>Acenaphthylene</t>
  </si>
  <si>
    <t>208-96-8</t>
  </si>
  <si>
    <t>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t>
  </si>
  <si>
    <t>Part 1,2,3,4,5 Substance emission factors from the US EPA WebFIRE (version December 2005) database and AP 42 Chapter 3.3</t>
  </si>
  <si>
    <t xml:space="preserve">Applicable Source Classification Code used for Emission Factor determination in the US EPA's WebFIRE database </t>
  </si>
  <si>
    <r>
      <t>Enter the amount of Diesel Fuel consumed in liters or m</t>
    </r>
    <r>
      <rPr>
        <b/>
        <vertAlign val="superscript"/>
        <sz val="10"/>
        <rFont val="Arial"/>
        <family val="2"/>
      </rPr>
      <t>3</t>
    </r>
    <r>
      <rPr>
        <b/>
        <sz val="10"/>
        <rFont val="Arial"/>
        <family val="2"/>
      </rPr>
      <t>.</t>
    </r>
  </si>
  <si>
    <t>Diesel Fuel Generator - Fuel Usage (Up to 600 Horsepower)</t>
  </si>
  <si>
    <t>Acrolein</t>
  </si>
  <si>
    <t>107-08-8</t>
  </si>
  <si>
    <t>Anthracene</t>
  </si>
  <si>
    <t>120-12-7</t>
  </si>
  <si>
    <t>Benzo (a) phenanthrene</t>
  </si>
  <si>
    <t>Benzo (a) pyrene</t>
  </si>
  <si>
    <t>Benzo (b) fluoranthene</t>
  </si>
  <si>
    <t>Benzo (k) fluoranthene</t>
  </si>
  <si>
    <t>218-01-9</t>
  </si>
  <si>
    <t>50-32-8</t>
  </si>
  <si>
    <t>205-99-2</t>
  </si>
  <si>
    <t>207-08-9</t>
  </si>
  <si>
    <t>Dibenzo (a,h) anthracene</t>
  </si>
  <si>
    <t>53-70-3</t>
  </si>
  <si>
    <t>Indeno(1,2,3-c,d) pyrene</t>
  </si>
  <si>
    <t>193-39-5</t>
  </si>
  <si>
    <t>Benzo (g,h,i) perylene</t>
  </si>
  <si>
    <t>191-24-2</t>
  </si>
  <si>
    <t>Reporting Individual PAH substances</t>
  </si>
  <si>
    <r>
      <t>Note:  This spread sheet uses a default Heating Value for Diesel Fuel of 38.184 GJ/m</t>
    </r>
    <r>
      <rPr>
        <b/>
        <vertAlign val="superscript"/>
        <sz val="10"/>
        <rFont val="Arial"/>
        <family val="2"/>
      </rPr>
      <t>3</t>
    </r>
    <r>
      <rPr>
        <b/>
        <sz val="10"/>
        <rFont val="Arial"/>
        <family val="2"/>
      </rPr>
      <t>.  This value maybe changed if a site specific value is available.</t>
    </r>
  </si>
  <si>
    <r>
      <t>Particulate Matter less than or equal to 2.5 µ</t>
    </r>
    <r>
      <rPr>
        <sz val="10"/>
        <rFont val="Arial"/>
      </rPr>
      <t>m (PM2.5)</t>
    </r>
  </si>
  <si>
    <t>Particulate Matter less than or equal to 10 µm (PM10)</t>
  </si>
  <si>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</si>
  <si>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</si>
  <si>
    <t>Document History/Histoire du document</t>
  </si>
  <si>
    <t>Date/date</t>
  </si>
  <si>
    <t>Item/item</t>
  </si>
  <si>
    <t>By/Par</t>
  </si>
  <si>
    <t>C.S.</t>
  </si>
  <si>
    <t>J.G.</t>
  </si>
  <si>
    <t>Calculator workbook created / document créé</t>
  </si>
  <si>
    <t xml:space="preserve">Reviewed EFs against AP-42 Chapter 3.3. Corrected a workbook calculation for Part 5 (Isomers of Xylene release quantity).  / Revision de les F-E contre AP- 42 Chapitre 3.3. Correction d'un calcul de classeur pour la partie 5 (Isomères d'Xylène).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</si>
</sst>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E+00"/>
  </numFmts>
  <fonts count="20" x14ac:knownFonts="1">
    <font>
      <sz val="10"/>
      <name val="Arial"/>
    </font>
    <font>
      <sz val="10"/>
      <name val="Arial"/>
    </font>
    <font>
      <b/>
      <sz val="10"/>
      <name val="Arial"/>
      <family val="2"/>
    </font>
    <font>
      <b/>
      <u/>
      <sz val="10"/>
      <name val="Arial"/>
      <family val="2"/>
    </font>
    <font>
      <sz val="10"/>
      <name val="Arial"/>
      <family val="2"/>
    </font>
    <font>
      <b/>
      <sz val="14"/>
      <name val="Arial"/>
      <family val="2"/>
    </font>
    <font>
      <b/>
      <sz val="10"/>
      <color indexed="10"/>
      <name val="Arial"/>
      <family val="2"/>
    </font>
    <font>
      <sz val="10"/>
      <color indexed="17"/>
      <name val="Arial"/>
    </font>
    <font>
      <sz val="10"/>
      <color indexed="17"/>
      <name val="Arial"/>
      <family val="2"/>
    </font>
    <font>
      <sz val="8"/>
      <name val="Arial"/>
    </font>
    <font>
      <b/>
      <i/>
      <sz val="10"/>
      <name val="Arial"/>
      <family val="2"/>
    </font>
    <font>
      <sz val="9"/>
      <name val="Arial"/>
    </font>
    <font>
      <vertAlign val="superscript"/>
      <sz val="10"/>
      <name val="Arial"/>
      <family val="2"/>
    </font>
    <font>
      <sz val="10"/>
      <color indexed="40"/>
      <name val="Arial"/>
    </font>
    <font>
      <b/>
      <u/>
      <sz val="14"/>
      <name val="Arial"/>
      <family val="2"/>
    </font>
    <font>
      <vertAlign val="superscript"/>
      <sz val="10"/>
      <name val="Arial"/>
    </font>
    <font>
      <sz val="10"/>
      <color indexed="12"/>
      <name val="Arial"/>
      <family val="2"/>
    </font>
    <font>
      <sz val="10"/>
      <color indexed="10"/>
      <name val="Arial"/>
    </font>
    <font>
      <sz val="10"/>
      <color indexed="10"/>
      <name val="Arial"/>
      <family val="2"/>
    </font>
    <font>
      <b/>
      <vertAlign val="superscript"/>
      <sz val="1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7">
    <xf numFmtId="0" fontId="0" fillId="0" borderId="0" xfId="0"/>
    <xf numFmtId="49" fontId="0" fillId="0" borderId="0" xfId="0" applyNumberFormat="1" applyAlignment="1">
      <alignment horizontal="left" wrapText="1"/>
    </xf>
    <xf numFmtId="0" fontId="2" fillId="0" borderId="0" xfId="0" applyFont="1"/>
    <xf numFmtId="164" fontId="0" fillId="0" borderId="0" xfId="0" applyNumberFormat="1"/>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8" fillId="0" borderId="0" xfId="0" applyFont="1" applyAlignment="1"/>
    <xf numFmtId="0" fontId="1" fillId="0" borderId="0" xfId="0" applyFont="1"/>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1" fontId="0" fillId="0" borderId="0" xfId="0" applyNumberFormat="1"/>
    <xf numFmtId="1" fontId="0" fillId="0" borderId="0" xfId="0" applyNumberFormat="1" applyBorder="1"/>
    <xf numFmtId="1" fontId="0" fillId="0" borderId="0" xfId="0" applyNumberFormat="1" applyBorder="1" applyAlignment="1">
      <alignment horizontal="center"/>
    </xf>
    <xf numFmtId="1" fontId="11" fillId="0" borderId="0" xfId="0" applyNumberFormat="1" applyFont="1" applyBorder="1"/>
    <xf numFmtId="0" fontId="4" fillId="0" borderId="0" xfId="0" applyFont="1"/>
    <xf numFmtId="0" fontId="0" fillId="0" borderId="0" xfId="0" applyNumberFormat="1" applyBorder="1" applyAlignment="1">
      <alignment horizontal="center"/>
    </xf>
    <xf numFmtId="2" fontId="0" fillId="0" borderId="0" xfId="0" applyNumberFormat="1" applyBorder="1" applyAlignment="1">
      <alignment horizontal="center"/>
    </xf>
    <xf numFmtId="164" fontId="6" fillId="0" borderId="0" xfId="0" applyNumberFormat="1" applyFont="1" applyAlignment="1">
      <alignment horizontal="center"/>
    </xf>
    <xf numFmtId="0" fontId="4" fillId="0" borderId="0" xfId="0" applyNumberFormat="1" applyFont="1" applyAlignment="1">
      <alignment horizontal="left"/>
    </xf>
    <xf numFmtId="0" fontId="4" fillId="0" borderId="0" xfId="0" applyNumberFormat="1" applyFont="1" applyAlignment="1">
      <alignment wrapText="1"/>
    </xf>
    <xf numFmtId="0" fontId="4" fillId="0" borderId="0" xfId="0" applyFont="1" applyFill="1"/>
    <xf numFmtId="0" fontId="4" fillId="0" borderId="0" xfId="0" quotePrefix="1" applyFont="1" applyFill="1" applyAlignment="1">
      <alignment horizontal="left"/>
    </xf>
    <xf numFmtId="0" fontId="4" fillId="0" borderId="0" xfId="0" applyFont="1" applyFill="1" applyAlignment="1">
      <alignment horizontal="left"/>
    </xf>
    <xf numFmtId="0" fontId="4" fillId="0" borderId="0" xfId="0" applyFont="1" applyBorder="1" applyAlignment="1">
      <alignment horizontal="center"/>
    </xf>
    <xf numFmtId="164" fontId="6" fillId="0" borderId="0" xfId="0" applyNumberFormat="1" applyFont="1" applyBorder="1" applyAlignment="1">
      <alignment horizontal="center"/>
    </xf>
    <xf numFmtId="165" fontId="0" fillId="0" borderId="0" xfId="0" applyNumberFormat="1" applyAlignment="1">
      <alignment horizontal="center"/>
    </xf>
    <xf numFmtId="165" fontId="0" fillId="0" borderId="0" xfId="0" applyNumberFormat="1" applyBorder="1" applyAlignment="1">
      <alignment horizontal="center"/>
    </xf>
    <xf numFmtId="0" fontId="6" fillId="0" borderId="0" xfId="0" applyFont="1" applyBorder="1" applyAlignment="1">
      <alignment horizontal="left"/>
    </xf>
    <xf numFmtId="11" fontId="4" fillId="0" borderId="0" xfId="0" applyNumberFormat="1" applyFont="1"/>
    <xf numFmtId="49" fontId="14" fillId="0" borderId="0" xfId="0" applyNumberFormat="1" applyFont="1" applyBorder="1" applyAlignment="1">
      <alignment horizontal="center" wrapText="1"/>
    </xf>
    <xf numFmtId="0" fontId="3" fillId="0" borderId="0" xfId="0" applyFont="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Protection="1"/>
    <xf numFmtId="0" fontId="3" fillId="0" borderId="0" xfId="0" applyFont="1" applyAlignment="1" applyProtection="1">
      <alignment horizontal="center"/>
    </xf>
    <xf numFmtId="0" fontId="2" fillId="0" borderId="0" xfId="0" applyFont="1" applyBorder="1" applyAlignment="1" applyProtection="1">
      <alignment horizontal="left"/>
    </xf>
    <xf numFmtId="0" fontId="2" fillId="0" borderId="0" xfId="0" applyFont="1" applyFill="1" applyAlignment="1" applyProtection="1">
      <alignment horizontal="right"/>
    </xf>
    <xf numFmtId="0" fontId="4" fillId="0" borderId="0" xfId="0" applyFont="1" applyAlignment="1" applyProtection="1">
      <alignment horizontal="right"/>
    </xf>
    <xf numFmtId="0" fontId="2" fillId="0" borderId="0" xfId="0" applyFont="1" applyAlignment="1" applyProtection="1">
      <alignment horizontal="left"/>
    </xf>
    <xf numFmtId="0" fontId="7" fillId="2" borderId="1" xfId="0" applyFont="1" applyFill="1" applyBorder="1" applyProtection="1"/>
    <xf numFmtId="0" fontId="10" fillId="2" borderId="1" xfId="0" applyFont="1" applyFill="1" applyBorder="1" applyAlignment="1" applyProtection="1">
      <alignment horizontal="center"/>
    </xf>
    <xf numFmtId="0" fontId="2" fillId="2" borderId="1" xfId="0" applyFont="1" applyFill="1" applyBorder="1" applyAlignment="1" applyProtection="1">
      <alignment horizontal="center"/>
    </xf>
    <xf numFmtId="0" fontId="2" fillId="0" borderId="1" xfId="0" applyFont="1" applyBorder="1" applyAlignment="1" applyProtection="1">
      <alignment horizontal="left"/>
    </xf>
    <xf numFmtId="0" fontId="4" fillId="0" borderId="1" xfId="0" applyFont="1" applyBorder="1" applyAlignment="1" applyProtection="1">
      <alignment horizontal="center"/>
    </xf>
    <xf numFmtId="0" fontId="0" fillId="0" borderId="1" xfId="0" applyBorder="1" applyAlignment="1" applyProtection="1">
      <alignment horizontal="center"/>
    </xf>
    <xf numFmtId="0" fontId="0" fillId="0" borderId="1" xfId="0" applyFill="1" applyBorder="1" applyAlignment="1" applyProtection="1">
      <alignment horizontal="center"/>
    </xf>
    <xf numFmtId="0" fontId="2" fillId="0" borderId="0" xfId="0" applyFont="1" applyProtection="1"/>
    <xf numFmtId="0" fontId="0" fillId="0" borderId="0" xfId="0" applyFill="1" applyAlignment="1" applyProtection="1">
      <alignment horizontal="center"/>
    </xf>
    <xf numFmtId="0" fontId="1" fillId="0" borderId="0" xfId="0" applyFont="1" applyAlignment="1" applyProtection="1">
      <alignment horizontal="left"/>
    </xf>
    <xf numFmtId="0" fontId="9" fillId="0" borderId="0" xfId="0" applyFont="1" applyAlignment="1" applyProtection="1">
      <alignment horizontal="left"/>
    </xf>
    <xf numFmtId="0" fontId="2" fillId="0" borderId="1" xfId="0" applyFont="1" applyFill="1" applyBorder="1" applyAlignment="1" applyProtection="1">
      <alignment horizontal="left"/>
    </xf>
    <xf numFmtId="0" fontId="13" fillId="0" borderId="0" xfId="0" applyFont="1" applyProtection="1"/>
    <xf numFmtId="0" fontId="1" fillId="3" borderId="1" xfId="0" applyFon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0" fontId="4" fillId="0" borderId="1" xfId="0" applyFont="1" applyBorder="1"/>
    <xf numFmtId="164" fontId="6" fillId="0" borderId="1" xfId="0" applyNumberFormat="1" applyFont="1" applyBorder="1" applyAlignment="1">
      <alignment horizontal="center"/>
    </xf>
    <xf numFmtId="0" fontId="0" fillId="0" borderId="1" xfId="0" applyNumberFormat="1" applyBorder="1" applyAlignment="1">
      <alignment horizontal="center"/>
    </xf>
    <xf numFmtId="0" fontId="4" fillId="0" borderId="1" xfId="0" applyFont="1" applyFill="1" applyBorder="1"/>
    <xf numFmtId="1" fontId="0" fillId="0" borderId="1" xfId="0" applyNumberFormat="1" applyBorder="1"/>
    <xf numFmtId="1" fontId="0" fillId="0" borderId="1" xfId="0" applyNumberFormat="1" applyBorder="1" applyAlignment="1">
      <alignment horizontal="center"/>
    </xf>
    <xf numFmtId="0" fontId="2" fillId="2" borderId="1" xfId="0" applyFont="1" applyFill="1" applyBorder="1"/>
    <xf numFmtId="165" fontId="4" fillId="0" borderId="1" xfId="0" applyNumberFormat="1" applyFont="1" applyBorder="1" applyAlignment="1" applyProtection="1">
      <alignment horizontal="center"/>
      <protection locked="0"/>
    </xf>
    <xf numFmtId="165" fontId="0" fillId="0" borderId="1" xfId="0" applyNumberFormat="1" applyBorder="1" applyAlignment="1" applyProtection="1">
      <alignment horizontal="center"/>
      <protection locked="0"/>
    </xf>
    <xf numFmtId="165" fontId="4" fillId="0" borderId="2" xfId="0" applyNumberFormat="1" applyFont="1" applyBorder="1" applyAlignment="1" applyProtection="1">
      <alignment horizontal="center"/>
      <protection locked="0"/>
    </xf>
    <xf numFmtId="0" fontId="0" fillId="0" borderId="1" xfId="0" applyBorder="1"/>
    <xf numFmtId="49" fontId="0" fillId="0" borderId="1" xfId="0" applyNumberFormat="1" applyBorder="1" applyAlignment="1">
      <alignment horizontal="center"/>
    </xf>
    <xf numFmtId="164" fontId="0" fillId="0" borderId="1" xfId="0" applyNumberFormat="1" applyBorder="1" applyAlignment="1" applyProtection="1">
      <alignment horizontal="center"/>
      <protection locked="0"/>
    </xf>
    <xf numFmtId="0" fontId="2" fillId="0" borderId="0" xfId="0" applyFont="1" applyAlignment="1">
      <alignment horizontal="center"/>
    </xf>
    <xf numFmtId="0" fontId="2" fillId="2" borderId="1" xfId="0" applyFont="1" applyFill="1" applyBorder="1" applyProtection="1"/>
    <xf numFmtId="0" fontId="4" fillId="0" borderId="1" xfId="0" applyFont="1" applyBorder="1" applyProtection="1"/>
    <xf numFmtId="0" fontId="0" fillId="0" borderId="1" xfId="0" applyNumberFormat="1" applyBorder="1" applyAlignment="1" applyProtection="1">
      <alignment horizontal="center"/>
    </xf>
    <xf numFmtId="164" fontId="6" fillId="0" borderId="1" xfId="0" applyNumberFormat="1" applyFont="1" applyBorder="1" applyAlignment="1" applyProtection="1">
      <alignment horizontal="center"/>
    </xf>
    <xf numFmtId="0" fontId="4" fillId="0" borderId="1" xfId="0" applyFont="1" applyFill="1" applyBorder="1" applyProtection="1"/>
    <xf numFmtId="0" fontId="0" fillId="0" borderId="0" xfId="0" applyNumberFormat="1" applyBorder="1" applyAlignment="1" applyProtection="1">
      <alignment horizontal="center"/>
    </xf>
    <xf numFmtId="164" fontId="6" fillId="0" borderId="0" xfId="0" applyNumberFormat="1" applyFont="1" applyAlignment="1" applyProtection="1">
      <alignment horizontal="center"/>
    </xf>
    <xf numFmtId="0" fontId="1" fillId="0" borderId="0" xfId="0" applyFont="1" applyProtection="1"/>
    <xf numFmtId="164" fontId="0" fillId="0" borderId="0" xfId="0" applyNumberFormat="1" applyProtection="1"/>
    <xf numFmtId="0" fontId="0" fillId="0" borderId="0" xfId="0" applyAlignment="1" applyProtection="1">
      <alignment horizontal="right"/>
    </xf>
    <xf numFmtId="0" fontId="4" fillId="0" borderId="0" xfId="0" applyFont="1" applyAlignment="1" applyProtection="1">
      <alignment wrapText="1"/>
    </xf>
    <xf numFmtId="0" fontId="0" fillId="0" borderId="0" xfId="0" applyAlignment="1" applyProtection="1">
      <alignment wrapText="1"/>
    </xf>
    <xf numFmtId="0" fontId="7" fillId="0" borderId="0" xfId="0" applyFont="1" applyBorder="1" applyAlignment="1" applyProtection="1">
      <alignment horizontal="centerContinuous"/>
    </xf>
    <xf numFmtId="0" fontId="17" fillId="0" borderId="0" xfId="0" applyFont="1" applyFill="1" applyProtection="1"/>
    <xf numFmtId="0" fontId="4" fillId="0" borderId="1" xfId="0" applyFont="1" applyFill="1" applyBorder="1" applyAlignment="1" applyProtection="1">
      <alignment horizontal="center"/>
    </xf>
    <xf numFmtId="0" fontId="18" fillId="0" borderId="0" xfId="0" applyFont="1" applyFill="1" applyProtection="1"/>
    <xf numFmtId="0" fontId="16" fillId="0" borderId="0" xfId="0" applyFont="1" applyProtection="1"/>
    <xf numFmtId="0" fontId="0" fillId="0" borderId="0" xfId="0" applyFill="1" applyProtection="1"/>
    <xf numFmtId="0" fontId="4" fillId="0" borderId="2" xfId="0" applyFont="1" applyFill="1" applyBorder="1" applyProtection="1"/>
    <xf numFmtId="0" fontId="0" fillId="0" borderId="2" xfId="0" applyNumberFormat="1" applyBorder="1" applyAlignment="1" applyProtection="1">
      <alignment horizontal="center"/>
    </xf>
    <xf numFmtId="0" fontId="0" fillId="0" borderId="2" xfId="0" applyBorder="1" applyAlignment="1" applyProtection="1">
      <alignment horizontal="center"/>
    </xf>
    <xf numFmtId="164" fontId="6" fillId="0" borderId="2" xfId="0" applyNumberFormat="1" applyFont="1" applyBorder="1" applyAlignment="1" applyProtection="1">
      <alignment horizontal="center"/>
    </xf>
    <xf numFmtId="0" fontId="2" fillId="0" borderId="3" xfId="0" applyFont="1" applyFill="1" applyBorder="1" applyAlignment="1" applyProtection="1">
      <alignment horizontal="left"/>
    </xf>
    <xf numFmtId="0" fontId="6" fillId="0" borderId="3" xfId="0" applyNumberFormat="1" applyFont="1" applyBorder="1" applyAlignment="1" applyProtection="1">
      <alignment horizontal="center"/>
    </xf>
    <xf numFmtId="165" fontId="6" fillId="0" borderId="3" xfId="0" applyNumberFormat="1" applyFont="1" applyBorder="1" applyAlignment="1" applyProtection="1">
      <alignment horizontal="center"/>
    </xf>
    <xf numFmtId="0" fontId="6" fillId="0" borderId="3" xfId="0" applyFont="1" applyBorder="1" applyAlignment="1" applyProtection="1">
      <alignment horizontal="center"/>
    </xf>
    <xf numFmtId="164" fontId="6" fillId="0" borderId="3" xfId="0" applyNumberFormat="1" applyFont="1" applyBorder="1" applyAlignment="1" applyProtection="1">
      <alignment horizontal="center"/>
    </xf>
    <xf numFmtId="0" fontId="6" fillId="0" borderId="0" xfId="0" applyFont="1" applyFill="1" applyBorder="1" applyAlignment="1" applyProtection="1">
      <alignment horizontal="left"/>
    </xf>
    <xf numFmtId="0" fontId="6" fillId="0" borderId="0" xfId="0" applyNumberFormat="1" applyFont="1" applyBorder="1" applyAlignment="1" applyProtection="1">
      <alignment horizontal="center"/>
    </xf>
    <xf numFmtId="165" fontId="6" fillId="0" borderId="0" xfId="0" applyNumberFormat="1" applyFont="1" applyAlignment="1" applyProtection="1">
      <alignment horizontal="center"/>
    </xf>
    <xf numFmtId="0" fontId="6" fillId="0" borderId="0" xfId="0" applyFont="1" applyAlignment="1" applyProtection="1">
      <alignment horizontal="center"/>
    </xf>
    <xf numFmtId="1" fontId="0" fillId="0" borderId="0" xfId="0" applyNumberFormat="1" applyBorder="1" applyAlignment="1" applyProtection="1">
      <alignment horizontal="center"/>
    </xf>
    <xf numFmtId="1" fontId="0" fillId="0" borderId="0" xfId="0" applyNumberFormat="1" applyBorder="1" applyProtection="1"/>
    <xf numFmtId="0" fontId="7" fillId="0" borderId="4" xfId="0" applyFont="1" applyBorder="1" applyAlignment="1" applyProtection="1">
      <alignment horizontal="centerContinuous"/>
    </xf>
    <xf numFmtId="0" fontId="2" fillId="0" borderId="5" xfId="0" applyFont="1" applyBorder="1" applyProtection="1"/>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Protection="1"/>
    <xf numFmtId="0" fontId="2" fillId="0" borderId="5" xfId="0" applyFont="1" applyFill="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2" fontId="0" fillId="0" borderId="0" xfId="0" applyNumberFormat="1" applyBorder="1" applyAlignment="1" applyProtection="1">
      <alignment horizontal="center"/>
    </xf>
    <xf numFmtId="0" fontId="4" fillId="0" borderId="0" xfId="0" applyFont="1" applyFill="1" applyBorder="1" applyProtection="1"/>
    <xf numFmtId="165" fontId="0" fillId="0" borderId="0" xfId="0" applyNumberFormat="1" applyBorder="1" applyAlignment="1" applyProtection="1">
      <alignment horizontal="center"/>
      <protection locked="0"/>
    </xf>
    <xf numFmtId="0" fontId="0" fillId="0" borderId="0" xfId="0" applyBorder="1" applyAlignment="1" applyProtection="1">
      <alignment horizontal="center"/>
    </xf>
    <xf numFmtId="164" fontId="6" fillId="0" borderId="0" xfId="0" applyNumberFormat="1" applyFont="1" applyBorder="1" applyAlignment="1" applyProtection="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9" xfId="0" applyFont="1" applyBorder="1"/>
    <xf numFmtId="0" fontId="2" fillId="0" borderId="3" xfId="0" applyFont="1" applyBorder="1"/>
    <xf numFmtId="0" fontId="2" fillId="0" borderId="10" xfId="0" applyFont="1" applyBorder="1"/>
    <xf numFmtId="14" fontId="0" fillId="0" borderId="11" xfId="0" applyNumberFormat="1" applyBorder="1"/>
    <xf numFmtId="0" fontId="0" fillId="0" borderId="12" xfId="0" applyBorder="1"/>
    <xf numFmtId="0" fontId="0" fillId="0" borderId="1" xfId="0" applyBorder="1" applyAlignment="1">
      <alignment wrapText="1"/>
    </xf>
  </cellXfs>
  <cellStyles count="1">
    <cellStyle name="Normal" xfId="0" builtinId="0"/>
  </cellStyles>
  <dxfs count="4">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2476500</xdr:colOff>
      <xdr:row>2</xdr:row>
      <xdr:rowOff>7620</xdr:rowOff>
    </xdr:to>
    <xdr:pic>
      <xdr:nvPicPr>
        <xdr:cNvPr id="106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765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5707380</xdr:colOff>
      <xdr:row>0</xdr:row>
      <xdr:rowOff>15240</xdr:rowOff>
    </xdr:from>
    <xdr:to>
      <xdr:col>0</xdr:col>
      <xdr:colOff>6865620</xdr:colOff>
      <xdr:row>1</xdr:row>
      <xdr:rowOff>182880</xdr:rowOff>
    </xdr:to>
    <xdr:pic>
      <xdr:nvPicPr>
        <xdr:cNvPr id="106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7380" y="15240"/>
          <a:ext cx="11582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13" displayName="Table13" ref="A2:C4" totalsRowShown="0" headerRowDxfId="3" headerRowBorderDxfId="1" tableBorderDxfId="2" totalsRowBorderDxfId="0">
  <autoFilter ref="A2:C4"/>
  <tableColumns count="3">
    <tableColumn id="1" name="Date/date"/>
    <tableColumn id="2" name="Item/item"/>
    <tableColumn id="3" name="By/P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6" workbookViewId="0">
      <selection activeCell="A15" sqref="A15"/>
    </sheetView>
  </sheetViews>
  <sheetFormatPr defaultColWidth="9.109375" defaultRowHeight="13.2" x14ac:dyDescent="0.25"/>
  <cols>
    <col min="1" max="1" width="100.6640625" customWidth="1"/>
  </cols>
  <sheetData>
    <row r="1" spans="1:3" s="5" customFormat="1" ht="17.399999999999999" x14ac:dyDescent="0.3">
      <c r="C1" s="6"/>
    </row>
    <row r="2" spans="1:3" s="5" customFormat="1" ht="17.399999999999999" x14ac:dyDescent="0.3">
      <c r="A2" s="6"/>
      <c r="B2" s="7"/>
      <c r="C2" s="7"/>
    </row>
    <row r="3" spans="1:3" ht="17.399999999999999" x14ac:dyDescent="0.3">
      <c r="A3" s="31" t="s">
        <v>96</v>
      </c>
      <c r="B3" s="1"/>
      <c r="C3" s="1"/>
    </row>
    <row r="4" spans="1:3" ht="4.5" customHeight="1" x14ac:dyDescent="0.25"/>
    <row r="5" spans="1:3" x14ac:dyDescent="0.25">
      <c r="A5" s="11" t="s">
        <v>16</v>
      </c>
    </row>
    <row r="6" spans="1:3" ht="4.5" customHeight="1" x14ac:dyDescent="0.25">
      <c r="A6" s="11"/>
    </row>
    <row r="7" spans="1:3" ht="39.6" x14ac:dyDescent="0.25">
      <c r="A7" s="10" t="s">
        <v>78</v>
      </c>
    </row>
    <row r="8" spans="1:3" x14ac:dyDescent="0.25">
      <c r="A8" s="9"/>
    </row>
    <row r="9" spans="1:3" x14ac:dyDescent="0.25">
      <c r="A9" s="11" t="s">
        <v>17</v>
      </c>
    </row>
    <row r="10" spans="1:3" ht="4.5" customHeight="1" x14ac:dyDescent="0.25">
      <c r="A10" s="11"/>
    </row>
    <row r="11" spans="1:3" ht="129.75" customHeight="1" x14ac:dyDescent="0.25">
      <c r="A11" s="21" t="s">
        <v>92</v>
      </c>
    </row>
    <row r="12" spans="1:3" ht="6.9" customHeight="1" x14ac:dyDescent="0.25">
      <c r="A12" s="9"/>
    </row>
    <row r="13" spans="1:3" ht="26.4" x14ac:dyDescent="0.25">
      <c r="A13" s="9" t="s">
        <v>79</v>
      </c>
    </row>
    <row r="14" spans="1:3" ht="4.5" customHeight="1" x14ac:dyDescent="0.25">
      <c r="A14" s="9"/>
    </row>
    <row r="15" spans="1:3" ht="52.8" x14ac:dyDescent="0.25">
      <c r="A15" s="9" t="s">
        <v>80</v>
      </c>
    </row>
    <row r="16" spans="1:3" x14ac:dyDescent="0.25">
      <c r="A16" s="9"/>
    </row>
    <row r="17" spans="1:2" ht="28.5" customHeight="1" x14ac:dyDescent="0.25">
      <c r="A17" s="11" t="s">
        <v>94</v>
      </c>
    </row>
    <row r="18" spans="1:2" ht="4.5" customHeight="1" x14ac:dyDescent="0.25">
      <c r="A18" s="9"/>
    </row>
    <row r="19" spans="1:2" x14ac:dyDescent="0.25">
      <c r="A19" s="20" t="s">
        <v>42</v>
      </c>
    </row>
    <row r="20" spans="1:2" x14ac:dyDescent="0.25">
      <c r="A20" s="12" t="s">
        <v>24</v>
      </c>
    </row>
    <row r="21" spans="1:2" x14ac:dyDescent="0.25">
      <c r="A21" s="12" t="s">
        <v>25</v>
      </c>
      <c r="B21" s="22"/>
    </row>
    <row r="22" spans="1:2" x14ac:dyDescent="0.25">
      <c r="A22" s="12" t="s">
        <v>26</v>
      </c>
      <c r="B22" s="22"/>
    </row>
    <row r="23" spans="1:2" x14ac:dyDescent="0.25">
      <c r="A23" s="12" t="s">
        <v>27</v>
      </c>
      <c r="B23" s="23"/>
    </row>
    <row r="24" spans="1:2" x14ac:dyDescent="0.25">
      <c r="A24" s="9"/>
      <c r="B24" s="24" t="s">
        <v>21</v>
      </c>
    </row>
    <row r="25" spans="1:2" x14ac:dyDescent="0.25">
      <c r="A25" s="11" t="s">
        <v>18</v>
      </c>
    </row>
    <row r="26" spans="1:2" ht="4.5" customHeight="1" x14ac:dyDescent="0.25">
      <c r="A26" s="9"/>
    </row>
    <row r="27" spans="1:2" ht="26.4" x14ac:dyDescent="0.25">
      <c r="A27" s="9" t="s">
        <v>93</v>
      </c>
    </row>
    <row r="28" spans="1:2" ht="3.15" customHeight="1" x14ac:dyDescent="0.25">
      <c r="A28" s="9"/>
    </row>
    <row r="29" spans="1:2" x14ac:dyDescent="0.25">
      <c r="A29" s="11" t="s">
        <v>19</v>
      </c>
    </row>
    <row r="30" spans="1:2" ht="4.5" customHeight="1" x14ac:dyDescent="0.25">
      <c r="A30" s="11"/>
    </row>
    <row r="31" spans="1:2" ht="26.4" x14ac:dyDescent="0.25">
      <c r="A31" s="9" t="s">
        <v>120</v>
      </c>
    </row>
    <row r="32" spans="1:2" ht="4.5" customHeight="1" x14ac:dyDescent="0.25">
      <c r="A32" s="9"/>
    </row>
    <row r="33" spans="1:1" ht="39.6" x14ac:dyDescent="0.25">
      <c r="A33" s="9" t="s">
        <v>20</v>
      </c>
    </row>
    <row r="34" spans="1:1" ht="4.5" customHeight="1" x14ac:dyDescent="0.25"/>
    <row r="35" spans="1:1" ht="26.4" x14ac:dyDescent="0.25">
      <c r="A35" s="9" t="s">
        <v>37</v>
      </c>
    </row>
    <row r="36" spans="1:1" x14ac:dyDescent="0.25">
      <c r="A36" s="70" t="s">
        <v>38</v>
      </c>
    </row>
    <row r="38" spans="1:1" ht="39.6" x14ac:dyDescent="0.25">
      <c r="A38" s="10" t="s">
        <v>119</v>
      </c>
    </row>
  </sheetData>
  <sheetProtection password="CA53" sheet="1" objects="1" scenarios="1"/>
  <phoneticPr fontId="9" type="noConversion"/>
  <pageMargins left="0.75" right="0.75" top="1" bottom="1" header="0.5" footer="0.5"/>
  <pageSetup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workbookViewId="0">
      <selection activeCell="B7" sqref="B7"/>
    </sheetView>
  </sheetViews>
  <sheetFormatPr defaultColWidth="9.109375" defaultRowHeight="13.2" x14ac:dyDescent="0.25"/>
  <cols>
    <col min="1" max="1" width="27" style="36" customWidth="1"/>
    <col min="2" max="2" width="17.44140625" style="36" customWidth="1"/>
    <col min="3" max="3" width="14.88671875" style="36" customWidth="1"/>
    <col min="4" max="6" width="9.109375" style="36"/>
    <col min="7" max="7" width="11.5546875" style="36" customWidth="1"/>
    <col min="8" max="16384" width="9.109375" style="36"/>
  </cols>
  <sheetData>
    <row r="1" spans="1:4" x14ac:dyDescent="0.25">
      <c r="B1" s="37" t="s">
        <v>0</v>
      </c>
    </row>
    <row r="3" spans="1:4" ht="15.6" x14ac:dyDescent="0.25">
      <c r="A3" s="38" t="s">
        <v>95</v>
      </c>
      <c r="B3" s="39"/>
      <c r="C3" s="40"/>
      <c r="D3" s="41"/>
    </row>
    <row r="4" spans="1:4" x14ac:dyDescent="0.25">
      <c r="A4" s="41"/>
      <c r="B4" s="39"/>
      <c r="C4" s="40"/>
      <c r="D4" s="41"/>
    </row>
    <row r="5" spans="1:4" x14ac:dyDescent="0.25">
      <c r="A5" s="42"/>
      <c r="B5" s="43" t="s">
        <v>13</v>
      </c>
      <c r="C5" s="44" t="s">
        <v>3</v>
      </c>
    </row>
    <row r="6" spans="1:4" x14ac:dyDescent="0.25">
      <c r="A6" s="45" t="s">
        <v>28</v>
      </c>
      <c r="B6" s="55"/>
      <c r="C6" s="46" t="s">
        <v>81</v>
      </c>
      <c r="D6" s="36" t="s">
        <v>21</v>
      </c>
    </row>
    <row r="7" spans="1:4" ht="15.6" x14ac:dyDescent="0.25">
      <c r="A7" s="45" t="s">
        <v>28</v>
      </c>
      <c r="B7" s="55"/>
      <c r="C7" s="47" t="s">
        <v>34</v>
      </c>
    </row>
    <row r="8" spans="1:4" ht="15.6" x14ac:dyDescent="0.25">
      <c r="A8" s="45" t="s">
        <v>28</v>
      </c>
      <c r="B8" s="48">
        <f>IF(B7=0,B6/1000,B7)</f>
        <v>0</v>
      </c>
      <c r="C8" s="47" t="s">
        <v>34</v>
      </c>
    </row>
    <row r="9" spans="1:4" x14ac:dyDescent="0.25">
      <c r="A9" s="49"/>
      <c r="B9" s="50"/>
    </row>
    <row r="10" spans="1:4" ht="15.6" x14ac:dyDescent="0.25">
      <c r="A10" s="51" t="s">
        <v>82</v>
      </c>
    </row>
    <row r="11" spans="1:4" x14ac:dyDescent="0.25">
      <c r="A11" s="52"/>
    </row>
    <row r="12" spans="1:4" x14ac:dyDescent="0.25">
      <c r="A12" s="52"/>
    </row>
    <row r="13" spans="1:4" ht="15.6" x14ac:dyDescent="0.25">
      <c r="A13" s="49" t="s">
        <v>116</v>
      </c>
    </row>
    <row r="14" spans="1:4" ht="15.6" x14ac:dyDescent="0.25">
      <c r="A14" s="53" t="s">
        <v>44</v>
      </c>
      <c r="B14" s="56">
        <v>38.184128981699999</v>
      </c>
      <c r="C14" s="47" t="s">
        <v>45</v>
      </c>
      <c r="D14" s="54"/>
    </row>
  </sheetData>
  <sheetProtection password="CA53" sheet="1" objects="1" scenarios="1"/>
  <phoneticPr fontId="9"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workbookViewId="0">
      <selection activeCell="A33" sqref="A33"/>
    </sheetView>
  </sheetViews>
  <sheetFormatPr defaultColWidth="9.109375" defaultRowHeight="13.2" x14ac:dyDescent="0.25"/>
  <cols>
    <col min="1" max="1" width="17.5546875" customWidth="1"/>
    <col min="2" max="2" width="12.5546875" customWidth="1"/>
    <col min="3" max="3" width="16" bestFit="1" customWidth="1"/>
    <col min="4" max="4" width="10.44140625" bestFit="1" customWidth="1"/>
    <col min="5" max="5" width="9.6640625" bestFit="1" customWidth="1"/>
    <col min="6" max="6" width="26.109375" bestFit="1" customWidth="1"/>
    <col min="7" max="7" width="26.5546875" bestFit="1" customWidth="1"/>
    <col min="8" max="8" width="6.5546875" style="4" bestFit="1" customWidth="1"/>
    <col min="9" max="9" width="9.109375" customWidth="1"/>
    <col min="10" max="10" width="20.44140625" customWidth="1"/>
    <col min="11" max="11" width="14.44140625" customWidth="1"/>
    <col min="12" max="12" width="8.5546875" bestFit="1" customWidth="1"/>
  </cols>
  <sheetData>
    <row r="1" spans="1:12" x14ac:dyDescent="0.25">
      <c r="C1" s="32" t="s">
        <v>83</v>
      </c>
    </row>
    <row r="3" spans="1:12" x14ac:dyDescent="0.25">
      <c r="A3" s="63" t="s">
        <v>1</v>
      </c>
      <c r="B3" s="63" t="s">
        <v>2</v>
      </c>
      <c r="C3" s="35" t="s">
        <v>39</v>
      </c>
      <c r="D3" s="35" t="s">
        <v>75</v>
      </c>
      <c r="E3" s="35" t="s">
        <v>36</v>
      </c>
      <c r="F3" s="35" t="s">
        <v>85</v>
      </c>
      <c r="G3" s="63" t="s">
        <v>77</v>
      </c>
      <c r="H3" s="35" t="s">
        <v>3</v>
      </c>
    </row>
    <row r="4" spans="1:12" ht="15.6" x14ac:dyDescent="0.25">
      <c r="A4" s="57" t="s">
        <v>46</v>
      </c>
      <c r="B4" s="33" t="s">
        <v>47</v>
      </c>
      <c r="C4" s="64">
        <f>0.000767*0.429922613929*'Input Information'!B14</f>
        <v>1.2591241156031959E-2</v>
      </c>
      <c r="D4" s="34" t="s">
        <v>33</v>
      </c>
      <c r="E4" s="33" t="s">
        <v>48</v>
      </c>
      <c r="F4" s="33">
        <f>'Input Information'!$B$8</f>
        <v>0</v>
      </c>
      <c r="G4" s="58">
        <f>C4*'Input Information'!$B$8/1000</f>
        <v>0</v>
      </c>
      <c r="H4" s="33" t="s">
        <v>7</v>
      </c>
      <c r="I4" s="26"/>
      <c r="J4" s="27"/>
      <c r="L4" s="27"/>
    </row>
    <row r="5" spans="1:12" ht="15.6" x14ac:dyDescent="0.25">
      <c r="A5" s="57" t="s">
        <v>97</v>
      </c>
      <c r="B5" s="33" t="s">
        <v>98</v>
      </c>
      <c r="C5" s="64">
        <f>(0.0000925/2)*0.429922613929*'Input Information'!B14</f>
        <v>7.5925020008667287E-4</v>
      </c>
      <c r="D5" s="34" t="s">
        <v>33</v>
      </c>
      <c r="E5" s="33" t="s">
        <v>48</v>
      </c>
      <c r="F5" s="33">
        <f>'Input Information'!$B$8</f>
        <v>0</v>
      </c>
      <c r="G5" s="58">
        <f>C5*'Input Information'!$B$8/1000</f>
        <v>0</v>
      </c>
      <c r="H5" s="33" t="s">
        <v>7</v>
      </c>
      <c r="I5" s="26"/>
      <c r="J5" s="27"/>
      <c r="L5" s="27"/>
    </row>
    <row r="6" spans="1:12" ht="15.6" x14ac:dyDescent="0.25">
      <c r="A6" s="57" t="s">
        <v>99</v>
      </c>
      <c r="B6" s="33" t="s">
        <v>100</v>
      </c>
      <c r="C6" s="64">
        <f>0.00000187*0.429922613929*'Input Information'!B14</f>
        <v>3.0698332414315207E-5</v>
      </c>
      <c r="D6" s="34" t="s">
        <v>33</v>
      </c>
      <c r="E6" s="33" t="s">
        <v>48</v>
      </c>
      <c r="F6" s="33">
        <f>'Input Information'!$B$8</f>
        <v>0</v>
      </c>
      <c r="G6" s="58">
        <f>C6*'Input Information'!$B$8/1000</f>
        <v>0</v>
      </c>
      <c r="H6" s="33" t="s">
        <v>7</v>
      </c>
      <c r="I6" s="26"/>
      <c r="J6" s="27"/>
      <c r="L6" s="27"/>
    </row>
    <row r="7" spans="1:12" ht="15.6" x14ac:dyDescent="0.25">
      <c r="A7" s="57" t="s">
        <v>29</v>
      </c>
      <c r="B7" s="59" t="s">
        <v>22</v>
      </c>
      <c r="C7" s="64">
        <f>0.000933*0.429922613929*'Input Information'!B14</f>
        <v>1.5316333766072774E-2</v>
      </c>
      <c r="D7" s="34" t="s">
        <v>33</v>
      </c>
      <c r="E7" s="34" t="s">
        <v>48</v>
      </c>
      <c r="F7" s="33">
        <f>'Input Information'!$B$8</f>
        <v>0</v>
      </c>
      <c r="G7" s="58">
        <f>C7*'Input Information'!$B$8/1000</f>
        <v>0</v>
      </c>
      <c r="H7" s="33" t="s">
        <v>7</v>
      </c>
      <c r="I7" s="19"/>
      <c r="J7" s="27"/>
    </row>
    <row r="8" spans="1:12" ht="15.6" x14ac:dyDescent="0.25">
      <c r="A8" s="57" t="s">
        <v>30</v>
      </c>
      <c r="B8" s="59" t="s">
        <v>31</v>
      </c>
      <c r="C8" s="64">
        <f>(0.0000391/2)*0.429922613929*'Input Information'!B14</f>
        <v>3.2093711160420443E-4</v>
      </c>
      <c r="D8" s="34" t="s">
        <v>33</v>
      </c>
      <c r="E8" s="34" t="s">
        <v>48</v>
      </c>
      <c r="F8" s="33">
        <f>'Input Information'!$B$8</f>
        <v>0</v>
      </c>
      <c r="G8" s="58">
        <f>C8*'Input Information'!$B$8/1000</f>
        <v>0</v>
      </c>
      <c r="H8" s="33" t="s">
        <v>7</v>
      </c>
      <c r="I8" s="19"/>
      <c r="J8" s="27"/>
    </row>
    <row r="9" spans="1:12" ht="15.6" x14ac:dyDescent="0.25">
      <c r="A9" s="60" t="s">
        <v>49</v>
      </c>
      <c r="B9" s="59" t="s">
        <v>50</v>
      </c>
      <c r="C9" s="65">
        <f>0.00118*0.429922613929*'Input Information'!B14</f>
        <v>1.9371140240049167E-2</v>
      </c>
      <c r="D9" s="34" t="s">
        <v>33</v>
      </c>
      <c r="E9" s="34" t="s">
        <v>48</v>
      </c>
      <c r="F9" s="33">
        <f>'Input Information'!$B$8</f>
        <v>0</v>
      </c>
      <c r="G9" s="58">
        <f>C9*'Input Information'!$B$8/1000</f>
        <v>0</v>
      </c>
      <c r="H9" s="33" t="s">
        <v>7</v>
      </c>
      <c r="I9" s="19"/>
      <c r="J9" s="27"/>
    </row>
    <row r="10" spans="1:12" ht="15.6" x14ac:dyDescent="0.25">
      <c r="A10" s="60" t="s">
        <v>54</v>
      </c>
      <c r="B10" s="59" t="s">
        <v>55</v>
      </c>
      <c r="C10" s="65">
        <f>0.0000848*0.429922613929*'Input Information'!B14</f>
        <v>1.3920955019967537E-3</v>
      </c>
      <c r="D10" s="34" t="s">
        <v>33</v>
      </c>
      <c r="E10" s="34" t="s">
        <v>48</v>
      </c>
      <c r="F10" s="33">
        <f>'Input Information'!$B$8</f>
        <v>0</v>
      </c>
      <c r="G10" s="58">
        <f>C10*'Input Information'!$B$8/1000</f>
        <v>0</v>
      </c>
      <c r="H10" s="33" t="s">
        <v>7</v>
      </c>
      <c r="I10" s="19"/>
      <c r="J10" s="27"/>
    </row>
    <row r="11" spans="1:12" ht="15.6" x14ac:dyDescent="0.25">
      <c r="A11" s="57" t="s">
        <v>32</v>
      </c>
      <c r="B11" s="59" t="s">
        <v>23</v>
      </c>
      <c r="C11" s="65">
        <f>0.00258*0.429922613929*'Input Information'!B14</f>
        <v>4.2353848999429532E-2</v>
      </c>
      <c r="D11" s="34" t="s">
        <v>33</v>
      </c>
      <c r="E11" s="34" t="s">
        <v>48</v>
      </c>
      <c r="F11" s="33">
        <f>'Input Information'!$B$8</f>
        <v>0</v>
      </c>
      <c r="G11" s="58">
        <f>C11*'Input Information'!$B$8/1000</f>
        <v>0</v>
      </c>
      <c r="H11" s="33" t="s">
        <v>7</v>
      </c>
      <c r="I11" s="19"/>
      <c r="J11" s="27"/>
    </row>
    <row r="12" spans="1:12" ht="15.6" x14ac:dyDescent="0.25">
      <c r="A12" s="60" t="s">
        <v>56</v>
      </c>
      <c r="B12" s="59" t="s">
        <v>57</v>
      </c>
      <c r="C12" s="65">
        <f>0.000409*0.429922613929*'Input Information'!B14</f>
        <v>6.7142342018475512E-3</v>
      </c>
      <c r="D12" s="34" t="s">
        <v>33</v>
      </c>
      <c r="E12" s="34" t="s">
        <v>48</v>
      </c>
      <c r="F12" s="33">
        <f>'Input Information'!$B$8</f>
        <v>0</v>
      </c>
      <c r="G12" s="58">
        <f>C12*'Input Information'!$B$8/1000</f>
        <v>0</v>
      </c>
      <c r="H12" s="33" t="s">
        <v>7</v>
      </c>
      <c r="I12" s="19"/>
      <c r="J12" s="27"/>
    </row>
    <row r="13" spans="1:12" ht="15.6" x14ac:dyDescent="0.25">
      <c r="A13" s="61" t="s">
        <v>58</v>
      </c>
      <c r="B13" s="62" t="s">
        <v>59</v>
      </c>
      <c r="C13" s="65">
        <f>0.000285*0.429922613929*'Input Information'!B14</f>
        <v>4.6786228545881462E-3</v>
      </c>
      <c r="D13" s="34" t="s">
        <v>33</v>
      </c>
      <c r="E13" s="62" t="s">
        <v>48</v>
      </c>
      <c r="F13" s="33">
        <f>'Input Information'!$B$8</f>
        <v>0</v>
      </c>
      <c r="G13" s="58">
        <f>C13*'Input Information'!$B$8/1000</f>
        <v>0</v>
      </c>
      <c r="H13" s="33" t="s">
        <v>7</v>
      </c>
      <c r="I13" s="19"/>
      <c r="J13" s="27"/>
    </row>
    <row r="14" spans="1:12" x14ac:dyDescent="0.25">
      <c r="A14" s="13"/>
      <c r="B14" s="14"/>
      <c r="C14" s="14"/>
      <c r="D14" s="14"/>
      <c r="E14" s="14"/>
      <c r="F14" s="14"/>
      <c r="G14" s="19"/>
    </row>
    <row r="15" spans="1:12" x14ac:dyDescent="0.25">
      <c r="A15" s="13"/>
      <c r="B15" s="14"/>
      <c r="C15" s="28"/>
      <c r="D15" s="4"/>
      <c r="E15" s="14"/>
      <c r="F15" s="14"/>
      <c r="G15" s="25"/>
      <c r="H15" s="25"/>
      <c r="I15" s="19"/>
      <c r="J15" s="4"/>
    </row>
    <row r="16" spans="1:12" x14ac:dyDescent="0.25">
      <c r="A16" s="13"/>
      <c r="B16" s="14"/>
      <c r="C16" s="14"/>
      <c r="D16" s="14"/>
      <c r="E16" s="14"/>
      <c r="F16" s="14"/>
      <c r="G16" s="14"/>
      <c r="H16" s="14"/>
      <c r="I16" s="19"/>
      <c r="J16" s="4"/>
    </row>
    <row r="17" spans="1:11" x14ac:dyDescent="0.25">
      <c r="C17" s="32" t="s">
        <v>84</v>
      </c>
    </row>
    <row r="19" spans="1:11" x14ac:dyDescent="0.25">
      <c r="A19" s="63" t="s">
        <v>1</v>
      </c>
      <c r="B19" s="63" t="s">
        <v>2</v>
      </c>
      <c r="C19" s="35" t="s">
        <v>39</v>
      </c>
      <c r="D19" s="35" t="s">
        <v>40</v>
      </c>
      <c r="E19" s="35" t="s">
        <v>36</v>
      </c>
      <c r="F19" s="35" t="s">
        <v>85</v>
      </c>
      <c r="G19" s="35" t="s">
        <v>77</v>
      </c>
      <c r="H19" s="35" t="s">
        <v>3</v>
      </c>
    </row>
    <row r="20" spans="1:11" s="16" customFormat="1" ht="15.6" x14ac:dyDescent="0.25">
      <c r="A20" s="60" t="s">
        <v>51</v>
      </c>
      <c r="B20" s="59" t="s">
        <v>52</v>
      </c>
      <c r="C20" s="65">
        <f>0.0000003014*0.42992553873*'Input Information'!B14</f>
        <v>4.9478825321307034E-6</v>
      </c>
      <c r="D20" s="34" t="s">
        <v>33</v>
      </c>
      <c r="E20" s="34" t="s">
        <v>53</v>
      </c>
      <c r="F20" s="34">
        <f>'Input Information'!$B$8</f>
        <v>0</v>
      </c>
      <c r="G20" s="58">
        <f>C20*'Input Information'!$B$8</f>
        <v>0</v>
      </c>
      <c r="H20" s="33" t="s">
        <v>62</v>
      </c>
      <c r="I20" s="19"/>
      <c r="J20" s="27"/>
      <c r="K20" s="30"/>
    </row>
    <row r="21" spans="1:11" x14ac:dyDescent="0.25">
      <c r="A21" s="29"/>
      <c r="B21" s="14"/>
      <c r="C21" s="14"/>
      <c r="D21" s="14"/>
      <c r="E21" s="14"/>
      <c r="F21" s="14"/>
      <c r="G21" s="14"/>
      <c r="H21" s="14"/>
      <c r="I21" s="19"/>
    </row>
    <row r="22" spans="1:11" x14ac:dyDescent="0.25">
      <c r="A22" s="29"/>
      <c r="B22" s="14"/>
      <c r="C22" s="14"/>
      <c r="D22" s="14"/>
      <c r="E22" s="14"/>
      <c r="F22" s="14"/>
      <c r="G22" s="14"/>
      <c r="H22" s="14"/>
      <c r="I22" s="19"/>
    </row>
    <row r="23" spans="1:11" x14ac:dyDescent="0.25">
      <c r="A23" s="13"/>
      <c r="B23" s="14"/>
      <c r="C23" s="14"/>
      <c r="D23" s="14"/>
      <c r="E23" s="14"/>
      <c r="F23" s="14"/>
      <c r="G23" s="14"/>
      <c r="H23" s="14"/>
      <c r="I23" s="19"/>
    </row>
    <row r="24" spans="1:11" x14ac:dyDescent="0.25">
      <c r="A24" s="8" t="s">
        <v>74</v>
      </c>
      <c r="B24" s="14"/>
      <c r="C24" s="14"/>
      <c r="D24" s="14"/>
      <c r="E24" s="14"/>
      <c r="F24" s="14"/>
      <c r="G24" s="14"/>
      <c r="H24" s="14"/>
      <c r="I24" s="19"/>
    </row>
    <row r="25" spans="1:11" x14ac:dyDescent="0.25">
      <c r="A25" s="8" t="s">
        <v>76</v>
      </c>
      <c r="B25" s="17"/>
      <c r="C25" s="18"/>
      <c r="D25" s="18"/>
      <c r="E25" s="18"/>
      <c r="F25" s="18"/>
      <c r="G25" s="18"/>
      <c r="H25" s="18"/>
      <c r="I25" s="19"/>
    </row>
    <row r="26" spans="1:11" x14ac:dyDescent="0.25">
      <c r="A26" s="8"/>
      <c r="B26" s="14"/>
      <c r="C26" s="14"/>
      <c r="D26" s="14"/>
      <c r="E26" s="14"/>
      <c r="F26" s="14"/>
      <c r="G26" s="19"/>
    </row>
    <row r="27" spans="1:11" x14ac:dyDescent="0.25">
      <c r="A27" s="12"/>
      <c r="B27" s="14"/>
      <c r="C27" s="14"/>
      <c r="D27" s="14"/>
      <c r="E27" s="14"/>
      <c r="F27" s="14"/>
      <c r="G27" s="19"/>
    </row>
    <row r="28" spans="1:11" x14ac:dyDescent="0.25">
      <c r="A28" s="8"/>
      <c r="B28" s="14"/>
      <c r="C28" s="14"/>
      <c r="D28" s="14"/>
      <c r="E28" s="14"/>
      <c r="F28" s="14"/>
      <c r="G28" s="19"/>
    </row>
    <row r="29" spans="1:11" x14ac:dyDescent="0.25">
      <c r="A29" s="8"/>
      <c r="B29" s="17"/>
      <c r="C29" s="18"/>
      <c r="D29" s="18"/>
      <c r="E29" s="18"/>
      <c r="F29" s="18"/>
      <c r="G29" s="19"/>
    </row>
    <row r="30" spans="1:11" x14ac:dyDescent="0.25">
      <c r="A30" s="8"/>
      <c r="B30" s="17"/>
      <c r="C30" s="18"/>
      <c r="D30" s="18"/>
      <c r="E30" s="18"/>
      <c r="F30" s="18"/>
      <c r="G30" s="19"/>
    </row>
    <row r="31" spans="1:11" x14ac:dyDescent="0.25">
      <c r="A31" s="15"/>
      <c r="B31" s="17"/>
      <c r="C31" s="18"/>
      <c r="D31" s="18"/>
      <c r="E31" s="18"/>
      <c r="F31" s="18"/>
      <c r="G31" s="19"/>
    </row>
    <row r="32" spans="1:11" x14ac:dyDescent="0.25">
      <c r="A32" s="15"/>
      <c r="B32" s="17"/>
      <c r="C32" s="18"/>
      <c r="D32" s="18"/>
      <c r="E32" s="18"/>
      <c r="F32" s="18"/>
      <c r="G32" s="19"/>
    </row>
    <row r="33" spans="1:7" x14ac:dyDescent="0.25">
      <c r="A33" s="15"/>
      <c r="B33" s="17"/>
      <c r="C33" s="18"/>
      <c r="D33" s="18"/>
      <c r="E33" s="18"/>
      <c r="F33" s="18"/>
      <c r="G33" s="19"/>
    </row>
    <row r="34" spans="1:7" x14ac:dyDescent="0.25">
      <c r="A34" s="15"/>
      <c r="B34" s="14"/>
      <c r="C34" s="18"/>
      <c r="D34" s="18"/>
      <c r="E34" s="18"/>
      <c r="F34" s="18"/>
      <c r="G34" s="19"/>
    </row>
    <row r="35" spans="1:7" x14ac:dyDescent="0.25">
      <c r="A35" s="15"/>
      <c r="B35" s="17"/>
      <c r="C35" s="18"/>
      <c r="D35" s="18"/>
      <c r="E35" s="18"/>
      <c r="F35" s="18"/>
      <c r="G35" s="19"/>
    </row>
    <row r="39" spans="1:7" x14ac:dyDescent="0.25">
      <c r="A39" s="8" t="s">
        <v>21</v>
      </c>
    </row>
    <row r="40" spans="1:7" x14ac:dyDescent="0.25">
      <c r="A40" s="8" t="s">
        <v>21</v>
      </c>
    </row>
  </sheetData>
  <sheetProtection password="CA53" sheet="1"/>
  <phoneticPr fontId="9" type="noConversion"/>
  <pageMargins left="0.75" right="0.75" top="1" bottom="1" header="0.5" footer="0.5"/>
  <pageSetup scale="89" orientation="landscape" r:id="rId1"/>
  <headerFooter alignWithMargins="0"/>
  <ignoredErrors>
    <ignoredError sqref="C7 C20 C4 C9: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zoomScaleNormal="100" workbookViewId="0"/>
  </sheetViews>
  <sheetFormatPr defaultColWidth="9.109375" defaultRowHeight="13.2" x14ac:dyDescent="0.25"/>
  <cols>
    <col min="1" max="1" width="34.88671875" style="36" customWidth="1"/>
    <col min="2" max="2" width="12.5546875" style="80" customWidth="1"/>
    <col min="3" max="3" width="16" style="36" bestFit="1" customWidth="1"/>
    <col min="4" max="4" width="10.44140625" style="36" bestFit="1" customWidth="1"/>
    <col min="5" max="5" width="9.6640625" style="36" bestFit="1" customWidth="1"/>
    <col min="6" max="6" width="26.109375" style="36" bestFit="1" customWidth="1"/>
    <col min="7" max="7" width="26.5546875" style="36" bestFit="1" customWidth="1"/>
    <col min="8" max="8" width="5.44140625" style="36" bestFit="1" customWidth="1"/>
    <col min="9" max="16384" width="9.109375" style="36"/>
  </cols>
  <sheetData>
    <row r="1" spans="1:9" x14ac:dyDescent="0.25">
      <c r="C1" s="37" t="s">
        <v>71</v>
      </c>
    </row>
    <row r="2" spans="1:9" x14ac:dyDescent="0.25">
      <c r="A2" s="49"/>
    </row>
    <row r="3" spans="1:9" x14ac:dyDescent="0.25">
      <c r="A3" s="81"/>
      <c r="B3" s="81"/>
      <c r="C3" s="81"/>
      <c r="D3" s="82"/>
    </row>
    <row r="4" spans="1:9" x14ac:dyDescent="0.25">
      <c r="A4" s="49" t="s">
        <v>115</v>
      </c>
      <c r="B4" s="83"/>
      <c r="C4" s="83"/>
      <c r="D4" s="83"/>
      <c r="E4" s="83"/>
      <c r="F4" s="83"/>
    </row>
    <row r="5" spans="1:9" x14ac:dyDescent="0.25">
      <c r="A5" s="71" t="s">
        <v>1</v>
      </c>
      <c r="B5" s="71" t="s">
        <v>2</v>
      </c>
      <c r="C5" s="44" t="s">
        <v>39</v>
      </c>
      <c r="D5" s="44" t="s">
        <v>75</v>
      </c>
      <c r="E5" s="44" t="s">
        <v>36</v>
      </c>
      <c r="F5" s="44" t="s">
        <v>73</v>
      </c>
      <c r="G5" s="71" t="s">
        <v>77</v>
      </c>
      <c r="H5" s="44" t="s">
        <v>3</v>
      </c>
    </row>
    <row r="6" spans="1:9" ht="15.6" x14ac:dyDescent="0.25">
      <c r="A6" s="75" t="s">
        <v>86</v>
      </c>
      <c r="B6" s="46" t="s">
        <v>87</v>
      </c>
      <c r="C6" s="64">
        <f>(0.00000142/2)*0.429922613929*'Input Information'!B14</f>
        <v>1.1655516585114328E-5</v>
      </c>
      <c r="D6" s="47" t="s">
        <v>33</v>
      </c>
      <c r="E6" s="46" t="s">
        <v>48</v>
      </c>
      <c r="F6" s="46">
        <f>'Input Information'!$B$8</f>
        <v>0</v>
      </c>
      <c r="G6" s="74">
        <f>C6*'Input Information'!$B$8</f>
        <v>0</v>
      </c>
      <c r="H6" s="47" t="s">
        <v>62</v>
      </c>
      <c r="I6" s="84"/>
    </row>
    <row r="7" spans="1:9" s="87" customFormat="1" ht="15.6" x14ac:dyDescent="0.25">
      <c r="A7" s="75" t="s">
        <v>90</v>
      </c>
      <c r="B7" s="46" t="s">
        <v>91</v>
      </c>
      <c r="C7" s="64">
        <f>(0.00000506/2)*0.429922613929*'Input Information'!B14</f>
        <v>4.15330379723088E-5</v>
      </c>
      <c r="D7" s="47" t="s">
        <v>33</v>
      </c>
      <c r="E7" s="46" t="s">
        <v>48</v>
      </c>
      <c r="F7" s="46">
        <f>'Input Information'!$B$8</f>
        <v>0</v>
      </c>
      <c r="G7" s="74">
        <f>C7*'Input Information'!$B$8</f>
        <v>0</v>
      </c>
      <c r="H7" s="85" t="s">
        <v>62</v>
      </c>
      <c r="I7" s="86"/>
    </row>
    <row r="8" spans="1:9" ht="15.6" x14ac:dyDescent="0.25">
      <c r="A8" s="72" t="s">
        <v>60</v>
      </c>
      <c r="B8" s="46" t="s">
        <v>61</v>
      </c>
      <c r="C8" s="64">
        <f>0.00000168*0.429922613929*'Input Information'!B14</f>
        <v>2.7579250511256441E-5</v>
      </c>
      <c r="D8" s="47" t="s">
        <v>33</v>
      </c>
      <c r="E8" s="46" t="s">
        <v>48</v>
      </c>
      <c r="F8" s="46">
        <f>'Input Information'!$B$8</f>
        <v>0</v>
      </c>
      <c r="G8" s="74">
        <f>C8*'Input Information'!$B$8</f>
        <v>0</v>
      </c>
      <c r="H8" s="47" t="s">
        <v>62</v>
      </c>
      <c r="I8" s="88"/>
    </row>
    <row r="9" spans="1:9" ht="15.6" x14ac:dyDescent="0.25">
      <c r="A9" s="72" t="s">
        <v>101</v>
      </c>
      <c r="B9" s="46" t="s">
        <v>105</v>
      </c>
      <c r="C9" s="64">
        <f>0.000000353*0.429922613929*'Input Information'!B14</f>
        <v>5.7949258514723353E-6</v>
      </c>
      <c r="D9" s="47" t="s">
        <v>33</v>
      </c>
      <c r="E9" s="46" t="s">
        <v>48</v>
      </c>
      <c r="F9" s="46">
        <f>'Input Information'!$B$8</f>
        <v>0</v>
      </c>
      <c r="G9" s="74">
        <f>C9*'Input Information'!$B$8</f>
        <v>0</v>
      </c>
      <c r="H9" s="47" t="s">
        <v>62</v>
      </c>
      <c r="I9" s="88"/>
    </row>
    <row r="10" spans="1:9" ht="15.6" x14ac:dyDescent="0.25">
      <c r="A10" s="72" t="s">
        <v>102</v>
      </c>
      <c r="B10" s="46" t="s">
        <v>106</v>
      </c>
      <c r="C10" s="64">
        <f>(0.000000188/2)*0.429922613929*'Input Information'!B14</f>
        <v>1.5431247309869675E-6</v>
      </c>
      <c r="D10" s="47" t="s">
        <v>33</v>
      </c>
      <c r="E10" s="46" t="s">
        <v>48</v>
      </c>
      <c r="F10" s="46">
        <f>'Input Information'!$B$8</f>
        <v>0</v>
      </c>
      <c r="G10" s="74">
        <f>C10*'Input Information'!$B$8</f>
        <v>0</v>
      </c>
      <c r="H10" s="47" t="s">
        <v>62</v>
      </c>
      <c r="I10" s="88"/>
    </row>
    <row r="11" spans="1:9" ht="15.6" x14ac:dyDescent="0.25">
      <c r="A11" s="72" t="s">
        <v>103</v>
      </c>
      <c r="B11" s="46" t="s">
        <v>107</v>
      </c>
      <c r="C11" s="64">
        <f>(0.0000000991/2)*0.429922613929*'Input Information'!B14</f>
        <v>8.1342372787664089E-7</v>
      </c>
      <c r="D11" s="47" t="s">
        <v>33</v>
      </c>
      <c r="E11" s="46" t="s">
        <v>48</v>
      </c>
      <c r="F11" s="46">
        <f>'Input Information'!$B$8</f>
        <v>0</v>
      </c>
      <c r="G11" s="74">
        <f>C11*'Input Information'!$B$8</f>
        <v>0</v>
      </c>
      <c r="H11" s="47" t="s">
        <v>62</v>
      </c>
      <c r="I11" s="88"/>
    </row>
    <row r="12" spans="1:9" ht="15.6" x14ac:dyDescent="0.25">
      <c r="A12" s="72" t="s">
        <v>113</v>
      </c>
      <c r="B12" s="46" t="s">
        <v>114</v>
      </c>
      <c r="C12" s="64">
        <f>(0.000000489/2)*0.429922613929*'Input Information'!B14</f>
        <v>4.013765922620357E-6</v>
      </c>
      <c r="D12" s="47" t="s">
        <v>33</v>
      </c>
      <c r="E12" s="46" t="s">
        <v>48</v>
      </c>
      <c r="F12" s="46">
        <f>'Input Information'!$B$8</f>
        <v>0</v>
      </c>
      <c r="G12" s="74">
        <f>C12*'Input Information'!$B$8</f>
        <v>0</v>
      </c>
      <c r="H12" s="47" t="s">
        <v>62</v>
      </c>
      <c r="I12" s="88"/>
    </row>
    <row r="13" spans="1:9" ht="15.6" x14ac:dyDescent="0.25">
      <c r="A13" s="72" t="s">
        <v>104</v>
      </c>
      <c r="B13" s="46" t="s">
        <v>108</v>
      </c>
      <c r="C13" s="64">
        <f>(0.000000155/2)*0.429922613929*'Input Information'!B14</f>
        <v>1.2722570920371276E-6</v>
      </c>
      <c r="D13" s="47" t="s">
        <v>33</v>
      </c>
      <c r="E13" s="46" t="s">
        <v>48</v>
      </c>
      <c r="F13" s="46">
        <f>'Input Information'!$B$8</f>
        <v>0</v>
      </c>
      <c r="G13" s="74">
        <f>C13*'Input Information'!$B$8</f>
        <v>0</v>
      </c>
      <c r="H13" s="47" t="s">
        <v>62</v>
      </c>
      <c r="I13" s="88"/>
    </row>
    <row r="14" spans="1:9" ht="15.6" x14ac:dyDescent="0.25">
      <c r="A14" s="72" t="s">
        <v>109</v>
      </c>
      <c r="B14" s="46" t="s">
        <v>110</v>
      </c>
      <c r="C14" s="64">
        <f>(0.000000583/2)*0.429922613929*'Input Information'!B14</f>
        <v>4.7853282881138402E-6</v>
      </c>
      <c r="D14" s="47" t="s">
        <v>33</v>
      </c>
      <c r="E14" s="46" t="s">
        <v>48</v>
      </c>
      <c r="F14" s="46">
        <f>'Input Information'!$B$8</f>
        <v>0</v>
      </c>
      <c r="G14" s="74">
        <f>C14*'Input Information'!$B$8</f>
        <v>0</v>
      </c>
      <c r="H14" s="47" t="s">
        <v>62</v>
      </c>
      <c r="I14" s="88"/>
    </row>
    <row r="15" spans="1:9" ht="15.6" x14ac:dyDescent="0.25">
      <c r="A15" s="72" t="s">
        <v>63</v>
      </c>
      <c r="B15" s="73" t="s">
        <v>64</v>
      </c>
      <c r="C15" s="64">
        <f>0.00000761*0.429922613929*'Input Information'!B14</f>
        <v>1.249274383277747E-4</v>
      </c>
      <c r="D15" s="47" t="s">
        <v>33</v>
      </c>
      <c r="E15" s="47" t="s">
        <v>48</v>
      </c>
      <c r="F15" s="47">
        <f>'Input Information'!$B$8</f>
        <v>0</v>
      </c>
      <c r="G15" s="74">
        <f>C15*'Input Information'!$B$8</f>
        <v>0</v>
      </c>
      <c r="H15" s="47" t="s">
        <v>62</v>
      </c>
      <c r="I15" s="88"/>
    </row>
    <row r="16" spans="1:9" ht="15.6" x14ac:dyDescent="0.25">
      <c r="A16" s="72" t="s">
        <v>89</v>
      </c>
      <c r="B16" s="73" t="s">
        <v>88</v>
      </c>
      <c r="C16" s="64">
        <f>0.0000292*0.429922613929*'Input Information'!B14</f>
        <v>4.7935363983850484E-4</v>
      </c>
      <c r="D16" s="47" t="s">
        <v>33</v>
      </c>
      <c r="E16" s="47" t="s">
        <v>48</v>
      </c>
      <c r="F16" s="47">
        <f>'Input Information'!$B$8</f>
        <v>0</v>
      </c>
      <c r="G16" s="74">
        <f>C16*'Input Information'!$B$8</f>
        <v>0</v>
      </c>
      <c r="H16" s="47" t="s">
        <v>62</v>
      </c>
      <c r="I16" s="84"/>
    </row>
    <row r="17" spans="1:9" ht="15.6" x14ac:dyDescent="0.25">
      <c r="A17" s="72" t="s">
        <v>111</v>
      </c>
      <c r="B17" s="73" t="s">
        <v>112</v>
      </c>
      <c r="C17" s="64">
        <f>(0.000000375/2)*0.429922613929*'Input Information'!B14</f>
        <v>3.0780413517027279E-6</v>
      </c>
      <c r="D17" s="47" t="s">
        <v>33</v>
      </c>
      <c r="E17" s="47" t="s">
        <v>48</v>
      </c>
      <c r="F17" s="47">
        <f>'Input Information'!$B$8</f>
        <v>0</v>
      </c>
      <c r="G17" s="74">
        <f>C17*'Input Information'!$B$8</f>
        <v>0</v>
      </c>
      <c r="H17" s="47" t="s">
        <v>62</v>
      </c>
      <c r="I17" s="84"/>
    </row>
    <row r="18" spans="1:9" ht="15.6" x14ac:dyDescent="0.25">
      <c r="A18" s="75" t="s">
        <v>65</v>
      </c>
      <c r="B18" s="73" t="s">
        <v>66</v>
      </c>
      <c r="C18" s="64">
        <f>0.0000294*0.429922613929*'Input Information'!B14</f>
        <v>4.826368839469877E-4</v>
      </c>
      <c r="D18" s="47" t="s">
        <v>33</v>
      </c>
      <c r="E18" s="47" t="s">
        <v>48</v>
      </c>
      <c r="F18" s="47">
        <f>'Input Information'!$B$8</f>
        <v>0</v>
      </c>
      <c r="G18" s="74">
        <f>C18*'Input Information'!$B$8</f>
        <v>0</v>
      </c>
      <c r="H18" s="47" t="s">
        <v>62</v>
      </c>
      <c r="I18" s="88"/>
    </row>
    <row r="19" spans="1:9" ht="16.2" thickBot="1" x14ac:dyDescent="0.3">
      <c r="A19" s="89" t="s">
        <v>67</v>
      </c>
      <c r="B19" s="90" t="s">
        <v>68</v>
      </c>
      <c r="C19" s="66">
        <f>0.00000478*0.429922613929*'Input Information'!B14</f>
        <v>7.8469534192741539E-5</v>
      </c>
      <c r="D19" s="91" t="s">
        <v>33</v>
      </c>
      <c r="E19" s="91" t="s">
        <v>48</v>
      </c>
      <c r="F19" s="91">
        <f>'Input Information'!$B$8</f>
        <v>0</v>
      </c>
      <c r="G19" s="92">
        <f>C19*'Input Information'!$B$8</f>
        <v>0</v>
      </c>
      <c r="H19" s="91" t="s">
        <v>62</v>
      </c>
      <c r="I19" s="88"/>
    </row>
    <row r="20" spans="1:9" ht="13.8" thickBot="1" x14ac:dyDescent="0.3">
      <c r="A20" s="93" t="s">
        <v>69</v>
      </c>
      <c r="B20" s="94"/>
      <c r="C20" s="95"/>
      <c r="D20" s="96"/>
      <c r="E20" s="96"/>
      <c r="F20" s="96"/>
      <c r="G20" s="97">
        <f>SUM(G6:G19)</f>
        <v>0</v>
      </c>
      <c r="H20" s="91" t="s">
        <v>62</v>
      </c>
    </row>
    <row r="21" spans="1:9" x14ac:dyDescent="0.25">
      <c r="A21" s="98"/>
      <c r="B21" s="99"/>
      <c r="C21" s="100"/>
      <c r="D21" s="101"/>
      <c r="E21" s="101"/>
      <c r="F21" s="101"/>
      <c r="G21" s="77"/>
      <c r="H21" s="101"/>
    </row>
    <row r="22" spans="1:9" x14ac:dyDescent="0.25">
      <c r="A22" s="103"/>
      <c r="B22" s="102"/>
      <c r="C22" s="102"/>
      <c r="D22" s="102"/>
      <c r="E22" s="102"/>
      <c r="F22" s="102"/>
      <c r="G22" s="77"/>
    </row>
    <row r="23" spans="1:9" x14ac:dyDescent="0.25">
      <c r="C23" s="37" t="s">
        <v>70</v>
      </c>
      <c r="E23" s="79"/>
      <c r="F23" s="79"/>
    </row>
    <row r="24" spans="1:9" ht="13.8" thickBot="1" x14ac:dyDescent="0.3">
      <c r="B24" s="104"/>
      <c r="C24" s="104"/>
      <c r="D24" s="104"/>
      <c r="E24" s="104"/>
      <c r="F24" s="83"/>
    </row>
    <row r="25" spans="1:9" ht="13.8" thickBot="1" x14ac:dyDescent="0.3">
      <c r="A25" s="105" t="s">
        <v>1</v>
      </c>
      <c r="B25" s="105" t="s">
        <v>2</v>
      </c>
      <c r="C25" s="106" t="s">
        <v>39</v>
      </c>
      <c r="D25" s="107" t="s">
        <v>40</v>
      </c>
      <c r="E25" s="108" t="s">
        <v>36</v>
      </c>
      <c r="F25" s="107" t="s">
        <v>73</v>
      </c>
      <c r="G25" s="109" t="s">
        <v>41</v>
      </c>
      <c r="H25" s="110" t="s">
        <v>3</v>
      </c>
    </row>
    <row r="26" spans="1:9" x14ac:dyDescent="0.25">
      <c r="A26" s="111"/>
      <c r="B26" s="111"/>
      <c r="C26" s="112"/>
      <c r="D26" s="112"/>
      <c r="E26" s="112"/>
      <c r="F26" s="112"/>
      <c r="G26" s="111"/>
      <c r="H26" s="113"/>
    </row>
    <row r="27" spans="1:9" x14ac:dyDescent="0.25">
      <c r="A27" s="38" t="s">
        <v>72</v>
      </c>
      <c r="B27" s="111"/>
      <c r="C27" s="112"/>
      <c r="D27" s="112"/>
      <c r="E27" s="112"/>
      <c r="F27" s="112"/>
      <c r="G27" s="111"/>
      <c r="H27" s="113"/>
    </row>
    <row r="28" spans="1:9" x14ac:dyDescent="0.25">
      <c r="A28" s="111"/>
      <c r="B28" s="111"/>
      <c r="C28" s="112"/>
      <c r="D28" s="112"/>
      <c r="E28" s="112"/>
      <c r="F28" s="112"/>
      <c r="G28" s="111"/>
      <c r="H28" s="113"/>
    </row>
    <row r="29" spans="1:9" x14ac:dyDescent="0.25">
      <c r="A29" s="78" t="s">
        <v>74</v>
      </c>
      <c r="B29" s="102"/>
      <c r="C29" s="102"/>
      <c r="D29" s="102"/>
      <c r="E29" s="102"/>
      <c r="F29" s="102"/>
      <c r="G29" s="77"/>
    </row>
    <row r="30" spans="1:9" x14ac:dyDescent="0.25">
      <c r="A30" s="78" t="s">
        <v>76</v>
      </c>
      <c r="B30" s="76"/>
      <c r="C30" s="114"/>
      <c r="D30" s="114"/>
      <c r="E30" s="114"/>
      <c r="F30" s="114"/>
      <c r="G30" s="77"/>
    </row>
    <row r="31" spans="1:9" x14ac:dyDescent="0.25">
      <c r="A31" s="78"/>
    </row>
  </sheetData>
  <sheetProtection password="CA53" sheet="1"/>
  <phoneticPr fontId="9" type="noConversion"/>
  <pageMargins left="0.75" right="0.75" top="1" bottom="1" header="0.5" footer="0.5"/>
  <pageSetup scale="96" orientation="landscape" r:id="rId1"/>
  <headerFooter alignWithMargins="0"/>
  <ignoredErrors>
    <ignoredError sqref="C18:C19 C8 C15:C1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C4" sqref="C4"/>
    </sheetView>
  </sheetViews>
  <sheetFormatPr defaultColWidth="9.109375" defaultRowHeight="13.2" x14ac:dyDescent="0.25"/>
  <cols>
    <col min="1" max="1" width="48.33203125" customWidth="1"/>
    <col min="2" max="2" width="12.5546875" bestFit="1" customWidth="1"/>
    <col min="3" max="3" width="16" bestFit="1" customWidth="1"/>
    <col min="4" max="4" width="10.44140625" bestFit="1" customWidth="1"/>
    <col min="5" max="5" width="9.6640625" bestFit="1" customWidth="1"/>
    <col min="6" max="6" width="22.33203125" customWidth="1"/>
    <col min="7" max="7" width="23" customWidth="1"/>
    <col min="8" max="8" width="6.5546875" bestFit="1" customWidth="1"/>
  </cols>
  <sheetData>
    <row r="1" spans="1:8" x14ac:dyDescent="0.25">
      <c r="D1" s="32" t="s">
        <v>14</v>
      </c>
    </row>
    <row r="2" spans="1:8" x14ac:dyDescent="0.25">
      <c r="A2" s="2"/>
    </row>
    <row r="3" spans="1:8" ht="29.85" customHeight="1" x14ac:dyDescent="0.25">
      <c r="A3" s="120" t="s">
        <v>1</v>
      </c>
      <c r="B3" s="119" t="s">
        <v>2</v>
      </c>
      <c r="C3" s="119" t="s">
        <v>39</v>
      </c>
      <c r="D3" s="119" t="s">
        <v>75</v>
      </c>
      <c r="E3" s="119" t="s">
        <v>36</v>
      </c>
      <c r="F3" s="119" t="s">
        <v>85</v>
      </c>
      <c r="G3" s="119" t="s">
        <v>77</v>
      </c>
      <c r="H3" s="119" t="s">
        <v>3</v>
      </c>
    </row>
    <row r="4" spans="1:8" ht="15.6" x14ac:dyDescent="0.25">
      <c r="A4" s="67" t="s">
        <v>5</v>
      </c>
      <c r="B4" s="34" t="s">
        <v>6</v>
      </c>
      <c r="C4" s="69">
        <f>0.95*0.429922613929*'Input Information'!B14</f>
        <v>15.59540951529382</v>
      </c>
      <c r="D4" s="34" t="s">
        <v>33</v>
      </c>
      <c r="E4" s="34" t="s">
        <v>35</v>
      </c>
      <c r="F4" s="34">
        <f>'Input Information'!$B$8</f>
        <v>0</v>
      </c>
      <c r="G4" s="58">
        <f>C4*'Input Information'!$B$8/1000</f>
        <v>0</v>
      </c>
      <c r="H4" s="34" t="s">
        <v>7</v>
      </c>
    </row>
    <row r="5" spans="1:8" ht="15.6" x14ac:dyDescent="0.25">
      <c r="A5" s="67" t="s">
        <v>8</v>
      </c>
      <c r="B5" s="68" t="s">
        <v>9</v>
      </c>
      <c r="C5" s="69">
        <f>0.29*0.429922613929*'Input Information'!B14</f>
        <v>4.760703957300219</v>
      </c>
      <c r="D5" s="34" t="s">
        <v>33</v>
      </c>
      <c r="E5" s="34" t="s">
        <v>35</v>
      </c>
      <c r="F5" s="34">
        <f>'Input Information'!$B$8</f>
        <v>0</v>
      </c>
      <c r="G5" s="58">
        <f>C5*'Input Information'!$B$8/1000</f>
        <v>0</v>
      </c>
      <c r="H5" s="34" t="s">
        <v>7</v>
      </c>
    </row>
    <row r="6" spans="1:8" ht="15.6" x14ac:dyDescent="0.25">
      <c r="A6" s="67" t="s">
        <v>43</v>
      </c>
      <c r="B6" s="34" t="s">
        <v>10</v>
      </c>
      <c r="C6" s="69">
        <f>4.41*0.429922613929*'Input Information'!B14</f>
        <v>72.395532592048156</v>
      </c>
      <c r="D6" s="34" t="s">
        <v>33</v>
      </c>
      <c r="E6" s="34" t="s">
        <v>35</v>
      </c>
      <c r="F6" s="34">
        <f>'Input Information'!$B$8</f>
        <v>0</v>
      </c>
      <c r="G6" s="58">
        <f>C6*'Input Information'!$B$8/1000</f>
        <v>0</v>
      </c>
      <c r="H6" s="34" t="s">
        <v>7</v>
      </c>
    </row>
    <row r="7" spans="1:8" ht="15.6" x14ac:dyDescent="0.25">
      <c r="A7" s="67" t="s">
        <v>11</v>
      </c>
      <c r="B7" s="34" t="s">
        <v>4</v>
      </c>
      <c r="C7" s="69">
        <f>0.36*0.429922613929*'Input Information'!B14</f>
        <v>5.9098393952692376</v>
      </c>
      <c r="D7" s="34" t="s">
        <v>33</v>
      </c>
      <c r="E7" s="34" t="s">
        <v>35</v>
      </c>
      <c r="F7" s="34">
        <f>'Input Information'!$B$8</f>
        <v>0</v>
      </c>
      <c r="G7" s="58">
        <f>C7*'Input Information'!$B$8/1000</f>
        <v>0</v>
      </c>
      <c r="H7" s="34" t="s">
        <v>7</v>
      </c>
    </row>
    <row r="8" spans="1:8" ht="15.6" x14ac:dyDescent="0.25">
      <c r="A8" s="67" t="s">
        <v>12</v>
      </c>
      <c r="B8" s="34" t="s">
        <v>4</v>
      </c>
      <c r="C8" s="69">
        <f>0.31*0.429922613929*'Input Information'!B14</f>
        <v>5.0890283681485098</v>
      </c>
      <c r="D8" s="34" t="s">
        <v>33</v>
      </c>
      <c r="E8" s="34" t="s">
        <v>35</v>
      </c>
      <c r="F8" s="34">
        <f>'Input Information'!$B$8</f>
        <v>0</v>
      </c>
      <c r="G8" s="58">
        <f>C8*'Input Information'!$B$8/1000</f>
        <v>0</v>
      </c>
      <c r="H8" s="34" t="s">
        <v>7</v>
      </c>
    </row>
    <row r="9" spans="1:8" ht="15.6" x14ac:dyDescent="0.25">
      <c r="A9" s="57" t="s">
        <v>118</v>
      </c>
      <c r="B9" s="34" t="s">
        <v>4</v>
      </c>
      <c r="C9" s="69">
        <f>0.31*0.429922613929*'Input Information'!B14</f>
        <v>5.0890283681485098</v>
      </c>
      <c r="D9" s="34" t="s">
        <v>33</v>
      </c>
      <c r="E9" s="34" t="s">
        <v>35</v>
      </c>
      <c r="F9" s="34">
        <f>'Input Information'!$B$8</f>
        <v>0</v>
      </c>
      <c r="G9" s="58">
        <f>C9*'Input Information'!$B$8/1000</f>
        <v>0</v>
      </c>
      <c r="H9" s="34" t="s">
        <v>7</v>
      </c>
    </row>
    <row r="10" spans="1:8" ht="15.6" x14ac:dyDescent="0.25">
      <c r="A10" s="57" t="s">
        <v>117</v>
      </c>
      <c r="B10" s="34" t="s">
        <v>4</v>
      </c>
      <c r="C10" s="69">
        <f>0.31*0.429922613929*'Input Information'!B14</f>
        <v>5.0890283681485098</v>
      </c>
      <c r="D10" s="34" t="s">
        <v>33</v>
      </c>
      <c r="E10" s="34" t="s">
        <v>35</v>
      </c>
      <c r="F10" s="34">
        <f>'Input Information'!$B$8</f>
        <v>0</v>
      </c>
      <c r="G10" s="58">
        <f>C10*'Input Information'!$B$8/1000</f>
        <v>0</v>
      </c>
      <c r="H10" s="34" t="s">
        <v>7</v>
      </c>
    </row>
    <row r="11" spans="1:8" x14ac:dyDescent="0.25">
      <c r="C11" s="16"/>
      <c r="G11" s="3"/>
    </row>
    <row r="12" spans="1:8" x14ac:dyDescent="0.25">
      <c r="A12" s="8" t="s">
        <v>74</v>
      </c>
      <c r="G12" s="3"/>
    </row>
    <row r="13" spans="1:8" x14ac:dyDescent="0.25">
      <c r="A13" s="8" t="s">
        <v>76</v>
      </c>
      <c r="G13" s="3"/>
    </row>
    <row r="14" spans="1:8" x14ac:dyDescent="0.25">
      <c r="A14" s="8"/>
    </row>
  </sheetData>
  <sheetProtection password="CA53" sheet="1" objects="1" scenarios="1"/>
  <phoneticPr fontId="9" type="noConversion"/>
  <pageMargins left="0.75" right="0.75" top="1" bottom="1" header="0.5" footer="0.5"/>
  <pageSetup scale="84" orientation="landscape" r:id="rId1"/>
  <headerFooter alignWithMargins="0"/>
  <ignoredErrors>
    <ignoredError sqref="C4:C6 C8:C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activeCell="D15" sqref="D15"/>
    </sheetView>
  </sheetViews>
  <sheetFormatPr defaultColWidth="9.109375" defaultRowHeight="13.2" x14ac:dyDescent="0.25"/>
  <cols>
    <col min="1" max="1" width="17.44140625" style="36" customWidth="1"/>
    <col min="2" max="2" width="12.5546875" style="36" customWidth="1"/>
    <col min="3" max="3" width="19.5546875" style="36" bestFit="1" customWidth="1"/>
    <col min="4" max="4" width="10.44140625" style="36" bestFit="1" customWidth="1"/>
    <col min="5" max="5" width="9.6640625" style="36" bestFit="1" customWidth="1"/>
    <col min="6" max="6" width="26.109375" style="36" bestFit="1" customWidth="1"/>
    <col min="7" max="7" width="26.5546875" style="36" bestFit="1" customWidth="1"/>
    <col min="8" max="8" width="6.5546875" style="36" bestFit="1" customWidth="1"/>
    <col min="9" max="16384" width="9.109375" style="36"/>
  </cols>
  <sheetData>
    <row r="1" spans="1:8" x14ac:dyDescent="0.25">
      <c r="D1" s="37" t="s">
        <v>15</v>
      </c>
    </row>
    <row r="3" spans="1:8" x14ac:dyDescent="0.25">
      <c r="A3" s="71" t="s">
        <v>1</v>
      </c>
      <c r="B3" s="71" t="s">
        <v>2</v>
      </c>
      <c r="C3" s="44" t="s">
        <v>39</v>
      </c>
      <c r="D3" s="44" t="s">
        <v>75</v>
      </c>
      <c r="E3" s="44" t="s">
        <v>36</v>
      </c>
      <c r="F3" s="44" t="s">
        <v>85</v>
      </c>
      <c r="G3" s="71" t="s">
        <v>77</v>
      </c>
      <c r="H3" s="44" t="s">
        <v>3</v>
      </c>
    </row>
    <row r="4" spans="1:8" ht="15.6" x14ac:dyDescent="0.25">
      <c r="A4" s="72" t="s">
        <v>29</v>
      </c>
      <c r="B4" s="73" t="s">
        <v>22</v>
      </c>
      <c r="C4" s="65">
        <f>0.000933*0.42992553873*'Input Information'!B14</f>
        <v>1.5316437964425835E-2</v>
      </c>
      <c r="D4" s="47" t="s">
        <v>33</v>
      </c>
      <c r="E4" s="47" t="s">
        <v>48</v>
      </c>
      <c r="F4" s="47">
        <f>'Input Information'!$B$8</f>
        <v>0</v>
      </c>
      <c r="G4" s="74">
        <f>C4*'Input Information'!$B$8/1000</f>
        <v>0</v>
      </c>
      <c r="H4" s="47" t="s">
        <v>7</v>
      </c>
    </row>
    <row r="5" spans="1:8" ht="15.6" x14ac:dyDescent="0.25">
      <c r="A5" s="72" t="s">
        <v>30</v>
      </c>
      <c r="B5" s="73" t="s">
        <v>31</v>
      </c>
      <c r="C5" s="65">
        <f>(0.0000391/2)*0.42992553873*'Input Information'!B14</f>
        <v>3.2093929496733665E-4</v>
      </c>
      <c r="D5" s="47" t="s">
        <v>33</v>
      </c>
      <c r="E5" s="47" t="s">
        <v>48</v>
      </c>
      <c r="F5" s="47">
        <f>'Input Information'!$B$8</f>
        <v>0</v>
      </c>
      <c r="G5" s="74">
        <f>C5*'Input Information'!$B$8/1000</f>
        <v>0</v>
      </c>
      <c r="H5" s="47" t="s">
        <v>7</v>
      </c>
    </row>
    <row r="6" spans="1:8" ht="15.6" x14ac:dyDescent="0.25">
      <c r="A6" s="75" t="s">
        <v>49</v>
      </c>
      <c r="B6" s="73" t="s">
        <v>50</v>
      </c>
      <c r="C6" s="65">
        <f>0.00118*0.42992553873*'Input Information'!B14</f>
        <v>1.9371272023603951E-2</v>
      </c>
      <c r="D6" s="47" t="s">
        <v>33</v>
      </c>
      <c r="E6" s="47" t="s">
        <v>48</v>
      </c>
      <c r="F6" s="47">
        <f>'Input Information'!$B$8</f>
        <v>0</v>
      </c>
      <c r="G6" s="74">
        <f>C6*'Input Information'!$B$8/1000</f>
        <v>0</v>
      </c>
      <c r="H6" s="47" t="s">
        <v>7</v>
      </c>
    </row>
    <row r="7" spans="1:8" ht="15.6" x14ac:dyDescent="0.25">
      <c r="A7" s="72" t="s">
        <v>32</v>
      </c>
      <c r="B7" s="73" t="s">
        <v>23</v>
      </c>
      <c r="C7" s="65">
        <f>0.00258*0.42992553873*'Input Information'!B14</f>
        <v>4.23541371363544E-2</v>
      </c>
      <c r="D7" s="47" t="s">
        <v>33</v>
      </c>
      <c r="E7" s="47" t="s">
        <v>48</v>
      </c>
      <c r="F7" s="47">
        <f>'Input Information'!$B$8</f>
        <v>0</v>
      </c>
      <c r="G7" s="74">
        <f>C7*'Input Information'!$B$8/1000</f>
        <v>0</v>
      </c>
      <c r="H7" s="47" t="s">
        <v>7</v>
      </c>
    </row>
    <row r="8" spans="1:8" ht="15.6" x14ac:dyDescent="0.25">
      <c r="A8" s="75" t="s">
        <v>56</v>
      </c>
      <c r="B8" s="73" t="s">
        <v>57</v>
      </c>
      <c r="C8" s="65">
        <f>0.000409*0.42992553873*'Input Information'!B14</f>
        <v>6.7142798793678104E-3</v>
      </c>
      <c r="D8" s="47" t="s">
        <v>33</v>
      </c>
      <c r="E8" s="47" t="s">
        <v>48</v>
      </c>
      <c r="F8" s="47">
        <f>'Input Information'!$B$8</f>
        <v>0</v>
      </c>
      <c r="G8" s="74">
        <f>C8*'Input Information'!$B$8/1000</f>
        <v>0</v>
      </c>
      <c r="H8" s="47" t="s">
        <v>7</v>
      </c>
    </row>
    <row r="9" spans="1:8" ht="15.6" x14ac:dyDescent="0.25">
      <c r="A9" s="75" t="s">
        <v>58</v>
      </c>
      <c r="B9" s="73" t="s">
        <v>59</v>
      </c>
      <c r="C9" s="65">
        <f>0.000285*0.42992553873*'Input Information'!B14</f>
        <v>4.6786546836670561E-3</v>
      </c>
      <c r="D9" s="47" t="s">
        <v>33</v>
      </c>
      <c r="E9" s="47" t="s">
        <v>48</v>
      </c>
      <c r="F9" s="47">
        <f>'Input Information'!$B$8</f>
        <v>0</v>
      </c>
      <c r="G9" s="74">
        <f>C9*'Input Information'!$B$8/1000</f>
        <v>0</v>
      </c>
      <c r="H9" s="47" t="s">
        <v>7</v>
      </c>
    </row>
    <row r="10" spans="1:8" x14ac:dyDescent="0.25">
      <c r="A10" s="115"/>
      <c r="B10" s="76"/>
      <c r="C10" s="116"/>
      <c r="D10" s="117"/>
      <c r="E10" s="117"/>
      <c r="F10" s="117"/>
      <c r="G10" s="118"/>
      <c r="H10" s="117"/>
    </row>
    <row r="11" spans="1:8" x14ac:dyDescent="0.25">
      <c r="A11" s="78" t="s">
        <v>74</v>
      </c>
      <c r="G11" s="79"/>
    </row>
    <row r="12" spans="1:8" x14ac:dyDescent="0.25">
      <c r="A12" s="78" t="s">
        <v>76</v>
      </c>
      <c r="G12" s="79"/>
    </row>
    <row r="13" spans="1:8" x14ac:dyDescent="0.25">
      <c r="A13" s="78"/>
      <c r="G13" s="79"/>
    </row>
    <row r="14" spans="1:8" x14ac:dyDescent="0.25">
      <c r="A14" s="78"/>
      <c r="G14" s="79"/>
    </row>
    <row r="15" spans="1:8" x14ac:dyDescent="0.25">
      <c r="A15" s="78"/>
      <c r="G15" s="79"/>
    </row>
  </sheetData>
  <phoneticPr fontId="9" type="noConversion"/>
  <pageMargins left="0.75" right="0.75" top="1" bottom="1" header="0.5" footer="0.5"/>
  <pageSetup scale="92" orientation="landscape" r:id="rId1"/>
  <headerFooter alignWithMargins="0"/>
  <ignoredErrors>
    <ignoredError sqref="C4 C6:C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22" sqref="B22"/>
    </sheetView>
  </sheetViews>
  <sheetFormatPr defaultRowHeight="13.2" x14ac:dyDescent="0.25"/>
  <cols>
    <col min="1" max="1" width="11.21875" customWidth="1"/>
    <col min="2" max="2" width="69" customWidth="1"/>
    <col min="257" max="257" width="11.21875" customWidth="1"/>
    <col min="258" max="258" width="69" customWidth="1"/>
    <col min="513" max="513" width="11.21875" customWidth="1"/>
    <col min="514" max="514" width="69" customWidth="1"/>
    <col min="769" max="769" width="11.21875" customWidth="1"/>
    <col min="770" max="770" width="69" customWidth="1"/>
    <col min="1025" max="1025" width="11.21875" customWidth="1"/>
    <col min="1026" max="1026" width="69" customWidth="1"/>
    <col min="1281" max="1281" width="11.21875" customWidth="1"/>
    <col min="1282" max="1282" width="69" customWidth="1"/>
    <col min="1537" max="1537" width="11.21875" customWidth="1"/>
    <col min="1538" max="1538" width="69" customWidth="1"/>
    <col min="1793" max="1793" width="11.21875" customWidth="1"/>
    <col min="1794" max="1794" width="69" customWidth="1"/>
    <col min="2049" max="2049" width="11.21875" customWidth="1"/>
    <col min="2050" max="2050" width="69" customWidth="1"/>
    <col min="2305" max="2305" width="11.21875" customWidth="1"/>
    <col min="2306" max="2306" width="69" customWidth="1"/>
    <col min="2561" max="2561" width="11.21875" customWidth="1"/>
    <col min="2562" max="2562" width="69" customWidth="1"/>
    <col min="2817" max="2817" width="11.21875" customWidth="1"/>
    <col min="2818" max="2818" width="69" customWidth="1"/>
    <col min="3073" max="3073" width="11.21875" customWidth="1"/>
    <col min="3074" max="3074" width="69" customWidth="1"/>
    <col min="3329" max="3329" width="11.21875" customWidth="1"/>
    <col min="3330" max="3330" width="69" customWidth="1"/>
    <col min="3585" max="3585" width="11.21875" customWidth="1"/>
    <col min="3586" max="3586" width="69" customWidth="1"/>
    <col min="3841" max="3841" width="11.21875" customWidth="1"/>
    <col min="3842" max="3842" width="69" customWidth="1"/>
    <col min="4097" max="4097" width="11.21875" customWidth="1"/>
    <col min="4098" max="4098" width="69" customWidth="1"/>
    <col min="4353" max="4353" width="11.21875" customWidth="1"/>
    <col min="4354" max="4354" width="69" customWidth="1"/>
    <col min="4609" max="4609" width="11.21875" customWidth="1"/>
    <col min="4610" max="4610" width="69" customWidth="1"/>
    <col min="4865" max="4865" width="11.21875" customWidth="1"/>
    <col min="4866" max="4866" width="69" customWidth="1"/>
    <col min="5121" max="5121" width="11.21875" customWidth="1"/>
    <col min="5122" max="5122" width="69" customWidth="1"/>
    <col min="5377" max="5377" width="11.21875" customWidth="1"/>
    <col min="5378" max="5378" width="69" customWidth="1"/>
    <col min="5633" max="5633" width="11.21875" customWidth="1"/>
    <col min="5634" max="5634" width="69" customWidth="1"/>
    <col min="5889" max="5889" width="11.21875" customWidth="1"/>
    <col min="5890" max="5890" width="69" customWidth="1"/>
    <col min="6145" max="6145" width="11.21875" customWidth="1"/>
    <col min="6146" max="6146" width="69" customWidth="1"/>
    <col min="6401" max="6401" width="11.21875" customWidth="1"/>
    <col min="6402" max="6402" width="69" customWidth="1"/>
    <col min="6657" max="6657" width="11.21875" customWidth="1"/>
    <col min="6658" max="6658" width="69" customWidth="1"/>
    <col min="6913" max="6913" width="11.21875" customWidth="1"/>
    <col min="6914" max="6914" width="69" customWidth="1"/>
    <col min="7169" max="7169" width="11.21875" customWidth="1"/>
    <col min="7170" max="7170" width="69" customWidth="1"/>
    <col min="7425" max="7425" width="11.21875" customWidth="1"/>
    <col min="7426" max="7426" width="69" customWidth="1"/>
    <col min="7681" max="7681" width="11.21875" customWidth="1"/>
    <col min="7682" max="7682" width="69" customWidth="1"/>
    <col min="7937" max="7937" width="11.21875" customWidth="1"/>
    <col min="7938" max="7938" width="69" customWidth="1"/>
    <col min="8193" max="8193" width="11.21875" customWidth="1"/>
    <col min="8194" max="8194" width="69" customWidth="1"/>
    <col min="8449" max="8449" width="11.21875" customWidth="1"/>
    <col min="8450" max="8450" width="69" customWidth="1"/>
    <col min="8705" max="8705" width="11.21875" customWidth="1"/>
    <col min="8706" max="8706" width="69" customWidth="1"/>
    <col min="8961" max="8961" width="11.21875" customWidth="1"/>
    <col min="8962" max="8962" width="69" customWidth="1"/>
    <col min="9217" max="9217" width="11.21875" customWidth="1"/>
    <col min="9218" max="9218" width="69" customWidth="1"/>
    <col min="9473" max="9473" width="11.21875" customWidth="1"/>
    <col min="9474" max="9474" width="69" customWidth="1"/>
    <col min="9729" max="9729" width="11.21875" customWidth="1"/>
    <col min="9730" max="9730" width="69" customWidth="1"/>
    <col min="9985" max="9985" width="11.21875" customWidth="1"/>
    <col min="9986" max="9986" width="69" customWidth="1"/>
    <col min="10241" max="10241" width="11.21875" customWidth="1"/>
    <col min="10242" max="10242" width="69" customWidth="1"/>
    <col min="10497" max="10497" width="11.21875" customWidth="1"/>
    <col min="10498" max="10498" width="69" customWidth="1"/>
    <col min="10753" max="10753" width="11.21875" customWidth="1"/>
    <col min="10754" max="10754" width="69" customWidth="1"/>
    <col min="11009" max="11009" width="11.21875" customWidth="1"/>
    <col min="11010" max="11010" width="69" customWidth="1"/>
    <col min="11265" max="11265" width="11.21875" customWidth="1"/>
    <col min="11266" max="11266" width="69" customWidth="1"/>
    <col min="11521" max="11521" width="11.21875" customWidth="1"/>
    <col min="11522" max="11522" width="69" customWidth="1"/>
    <col min="11777" max="11777" width="11.21875" customWidth="1"/>
    <col min="11778" max="11778" width="69" customWidth="1"/>
    <col min="12033" max="12033" width="11.21875" customWidth="1"/>
    <col min="12034" max="12034" width="69" customWidth="1"/>
    <col min="12289" max="12289" width="11.21875" customWidth="1"/>
    <col min="12290" max="12290" width="69" customWidth="1"/>
    <col min="12545" max="12545" width="11.21875" customWidth="1"/>
    <col min="12546" max="12546" width="69" customWidth="1"/>
    <col min="12801" max="12801" width="11.21875" customWidth="1"/>
    <col min="12802" max="12802" width="69" customWidth="1"/>
    <col min="13057" max="13057" width="11.21875" customWidth="1"/>
    <col min="13058" max="13058" width="69" customWidth="1"/>
    <col min="13313" max="13313" width="11.21875" customWidth="1"/>
    <col min="13314" max="13314" width="69" customWidth="1"/>
    <col min="13569" max="13569" width="11.21875" customWidth="1"/>
    <col min="13570" max="13570" width="69" customWidth="1"/>
    <col min="13825" max="13825" width="11.21875" customWidth="1"/>
    <col min="13826" max="13826" width="69" customWidth="1"/>
    <col min="14081" max="14081" width="11.21875" customWidth="1"/>
    <col min="14082" max="14082" width="69" customWidth="1"/>
    <col min="14337" max="14337" width="11.21875" customWidth="1"/>
    <col min="14338" max="14338" width="69" customWidth="1"/>
    <col min="14593" max="14593" width="11.21875" customWidth="1"/>
    <col min="14594" max="14594" width="69" customWidth="1"/>
    <col min="14849" max="14849" width="11.21875" customWidth="1"/>
    <col min="14850" max="14850" width="69" customWidth="1"/>
    <col min="15105" max="15105" width="11.21875" customWidth="1"/>
    <col min="15106" max="15106" width="69" customWidth="1"/>
    <col min="15361" max="15361" width="11.21875" customWidth="1"/>
    <col min="15362" max="15362" width="69" customWidth="1"/>
    <col min="15617" max="15617" width="11.21875" customWidth="1"/>
    <col min="15618" max="15618" width="69" customWidth="1"/>
    <col min="15873" max="15873" width="11.21875" customWidth="1"/>
    <col min="15874" max="15874" width="69" customWidth="1"/>
    <col min="16129" max="16129" width="11.21875" customWidth="1"/>
    <col min="16130" max="16130" width="69" customWidth="1"/>
  </cols>
  <sheetData>
    <row r="1" spans="1:3" x14ac:dyDescent="0.25">
      <c r="A1" s="2" t="s">
        <v>121</v>
      </c>
    </row>
    <row r="2" spans="1:3" x14ac:dyDescent="0.25">
      <c r="A2" s="121" t="s">
        <v>122</v>
      </c>
      <c r="B2" s="122" t="s">
        <v>123</v>
      </c>
      <c r="C2" s="123" t="s">
        <v>124</v>
      </c>
    </row>
    <row r="3" spans="1:3" x14ac:dyDescent="0.25">
      <c r="A3" s="124">
        <v>39848</v>
      </c>
      <c r="B3" s="57" t="s">
        <v>127</v>
      </c>
      <c r="C3" s="125" t="s">
        <v>125</v>
      </c>
    </row>
    <row r="4" spans="1:3" ht="74.400000000000006" customHeight="1" x14ac:dyDescent="0.25">
      <c r="A4" s="124">
        <v>42423</v>
      </c>
      <c r="B4" s="126" t="s">
        <v>128</v>
      </c>
      <c r="C4" s="125" t="s">
        <v>126</v>
      </c>
    </row>
    <row r="5" spans="1:3" ht="74.400000000000006" customHeight="1" x14ac:dyDescent="0.25"/>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Input Information</vt:lpstr>
      <vt:lpstr>Part 1 Releases</vt:lpstr>
      <vt:lpstr>Parts 2 and 3 Releases</vt:lpstr>
      <vt:lpstr>Part 4 Releases</vt:lpstr>
      <vt:lpstr>Part 5 Releases </vt:lpstr>
      <vt:lpstr>Document History</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Seaman</dc:creator>
  <cp:lastModifiedBy>Gleeson,Jeff [NCR]</cp:lastModifiedBy>
  <cp:lastPrinted>2005-01-28T22:08:33Z</cp:lastPrinted>
  <dcterms:created xsi:type="dcterms:W3CDTF">2003-10-06T20:49:16Z</dcterms:created>
  <dcterms:modified xsi:type="dcterms:W3CDTF">2016-02-23T19:44:30Z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haredFileIndex">
    <vt:lpwstr/>
  </property>
</Properties>
</file>